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Z:\Pricing\DUoS\April 2025\Published\"/>
    </mc:Choice>
  </mc:AlternateContent>
  <xr:revisionPtr revIDLastSave="0" documentId="13_ncr:1_{78454D62-6FEC-4D12-A581-8F030DB2A34F}" xr6:coauthVersionLast="47" xr6:coauthVersionMax="47" xr10:uidLastSave="{00000000-0000-0000-0000-000000000000}"/>
  <workbookProtection lockStructure="1"/>
  <bookViews>
    <workbookView xWindow="-28920" yWindow="-120" windowWidth="29040" windowHeight="15840" tabRatio="86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4" i="89" l="1"/>
  <c r="H45" i="89" s="1"/>
  <c r="K175" i="87" l="1"/>
  <c r="K176" i="87" s="1"/>
  <c r="K170" i="87"/>
  <c r="L170" i="87"/>
  <c r="M170" i="87"/>
  <c r="N170" i="87"/>
  <c r="K171" i="87"/>
  <c r="L171" i="87"/>
  <c r="M171" i="87"/>
  <c r="N171" i="87"/>
  <c r="J174" i="87"/>
  <c r="J176" i="87" l="1"/>
  <c r="J175" i="87"/>
  <c r="J179" i="87"/>
  <c r="J181" i="87" l="1"/>
  <c r="J180" i="87"/>
  <c r="N180" i="87"/>
  <c r="N181" i="87" s="1"/>
  <c r="M180" i="87"/>
  <c r="M181" i="87" s="1"/>
  <c r="L180" i="87"/>
  <c r="L181" i="87" s="1"/>
  <c r="L176" i="87"/>
  <c r="N175" i="87"/>
  <c r="N176" i="87" s="1"/>
  <c r="M175" i="87"/>
  <c r="M176" i="87" s="1"/>
  <c r="L175" i="87"/>
  <c r="K180" i="87"/>
  <c r="K181" i="87" s="1"/>
  <c r="K48" i="112" l="1"/>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W51" i="112" l="1"/>
  <c r="V51" i="112"/>
  <c r="U51" i="112"/>
  <c r="M51" i="112"/>
  <c r="T51" i="112"/>
  <c r="S51" i="112"/>
  <c r="K51" i="112"/>
  <c r="R51" i="112"/>
  <c r="Y51" i="112"/>
  <c r="Q51" i="112"/>
  <c r="X51" i="112"/>
  <c r="G29" i="82" l="1"/>
  <c r="H66"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3" i="112"/>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1" i="105" l="1"/>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L142" i="105" s="1"/>
  <c r="AC36"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W187" i="105"/>
  <c r="W185" i="105"/>
  <c r="W183" i="105"/>
  <c r="W188" i="105"/>
  <c r="W186" i="105"/>
  <c r="W184" i="105"/>
  <c r="W182" i="105"/>
  <c r="AB188" i="105"/>
  <c r="AB186" i="105"/>
  <c r="AB184" i="105"/>
  <c r="AB182" i="105"/>
  <c r="AB187" i="105"/>
  <c r="AB185" i="105"/>
  <c r="AB183"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L142" i="105" s="1"/>
  <c r="AO47" i="105"/>
  <c r="AO142" i="105" s="1"/>
  <c r="AN47" i="105"/>
  <c r="AN142" i="105" s="1"/>
  <c r="X26" i="105"/>
  <c r="AK36" i="105"/>
  <c r="AK141" i="105" s="1"/>
  <c r="AH47" i="105"/>
  <c r="AN36" i="105"/>
  <c r="AN141" i="105" s="1"/>
  <c r="AK47" i="105"/>
  <c r="AK142" i="105" s="1"/>
  <c r="AJ47" i="105"/>
  <c r="AL36" i="105"/>
  <c r="AL141" i="105" s="1"/>
  <c r="X36" i="105"/>
  <c r="X141" i="105" s="1"/>
  <c r="AM47" i="105"/>
  <c r="AM142" i="105" s="1"/>
  <c r="Q47" i="105"/>
  <c r="Q142" i="105" s="1"/>
  <c r="AM36" i="105"/>
  <c r="AM141" i="105" s="1"/>
  <c r="AI47" i="105"/>
  <c r="K36" i="105"/>
  <c r="AI36" i="105"/>
  <c r="AI141" i="105" s="1"/>
  <c r="AL148" i="105"/>
  <c r="Q148" i="105"/>
  <c r="AM147" i="105"/>
  <c r="AM196" i="105"/>
  <c r="AM197" i="105"/>
  <c r="AM193" i="105"/>
  <c r="AM188" i="105"/>
  <c r="AM186" i="105"/>
  <c r="AM184" i="105"/>
  <c r="AM182" i="105"/>
  <c r="AM198" i="105"/>
  <c r="AM194" i="105"/>
  <c r="AM199" i="105"/>
  <c r="AM195" i="105"/>
  <c r="AM187" i="105"/>
  <c r="AM185" i="105"/>
  <c r="AM183" i="105"/>
  <c r="AO146" i="105"/>
  <c r="AO197" i="105"/>
  <c r="AO193" i="105"/>
  <c r="AO198" i="105"/>
  <c r="AO194" i="105"/>
  <c r="AO187" i="105"/>
  <c r="AO185" i="105"/>
  <c r="AO183" i="105"/>
  <c r="AO199" i="105"/>
  <c r="AO195" i="105"/>
  <c r="AO140" i="105"/>
  <c r="AO207" i="105" s="1"/>
  <c r="AO196" i="105"/>
  <c r="AO188" i="105"/>
  <c r="AO186" i="105"/>
  <c r="AO184" i="105"/>
  <c r="AO182" i="105"/>
  <c r="W189" i="105"/>
  <c r="AK148" i="105"/>
  <c r="AL147" i="105"/>
  <c r="Q147" i="105"/>
  <c r="AK147" i="105"/>
  <c r="AN147" i="105"/>
  <c r="AI147" i="105"/>
  <c r="AN148" i="105"/>
  <c r="AK199" i="105"/>
  <c r="AK195" i="105"/>
  <c r="AK196" i="105"/>
  <c r="AK187" i="105"/>
  <c r="AK185" i="105"/>
  <c r="AK183" i="105"/>
  <c r="AK197" i="105"/>
  <c r="AK193" i="105"/>
  <c r="AK198" i="105"/>
  <c r="AK194" i="105"/>
  <c r="AK188" i="105"/>
  <c r="AK186" i="105"/>
  <c r="AK184" i="105"/>
  <c r="AK182" i="105"/>
  <c r="AO148"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0" i="105" l="1"/>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Y59" i="112" s="1"/>
  <c r="X23" i="112"/>
  <c r="X59" i="112" s="1"/>
  <c r="W23" i="112"/>
  <c r="W59" i="112" s="1"/>
  <c r="V23" i="112"/>
  <c r="V59" i="112" s="1"/>
  <c r="U23" i="112"/>
  <c r="U59" i="112" s="1"/>
  <c r="T23" i="112"/>
  <c r="T59" i="112" s="1"/>
  <c r="S23" i="112"/>
  <c r="S59" i="112" s="1"/>
  <c r="R23" i="112"/>
  <c r="R59" i="112" s="1"/>
  <c r="Q23" i="112"/>
  <c r="Q59" i="112" s="1"/>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M55" i="112" l="1"/>
  <c r="M65" i="112" s="1"/>
  <c r="Q55" i="112"/>
  <c r="Q65" i="112" s="1"/>
  <c r="V55" i="112"/>
  <c r="V65" i="112" s="1"/>
  <c r="X55" i="112"/>
  <c r="X65" i="112" s="1"/>
  <c r="T55" i="112"/>
  <c r="T65" i="112" s="1"/>
  <c r="R39" i="112"/>
  <c r="R55" i="112"/>
  <c r="R65" i="112" s="1"/>
  <c r="S39" i="112"/>
  <c r="S55" i="112"/>
  <c r="S65" i="112" s="1"/>
  <c r="K39" i="112"/>
  <c r="K55" i="112"/>
  <c r="K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R28" i="111" l="1"/>
  <c r="R34" i="111" s="1"/>
  <c r="R27" i="111"/>
  <c r="R33" i="111" s="1"/>
  <c r="AL58" i="4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K27" i="31"/>
  <c r="J28" i="31" s="1"/>
  <c r="J29" i="31" s="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K76" i="81"/>
  <c r="K108" i="81" s="1"/>
  <c r="K29" i="31"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R126" i="31"/>
  <c r="P141" i="31"/>
  <c r="R138" i="31"/>
  <c r="K21" i="31"/>
  <c r="K23" i="31" s="1"/>
  <c r="L20" i="31"/>
  <c r="P82" i="72"/>
  <c r="P113" i="71"/>
  <c r="P95" i="73"/>
  <c r="P24" i="80"/>
  <c r="L113" i="71"/>
  <c r="L24" i="80"/>
  <c r="L82" i="72"/>
  <c r="L95" i="73"/>
  <c r="L57" i="23"/>
  <c r="O57" i="23"/>
  <c r="Q24" i="80"/>
  <c r="Q113" i="71"/>
  <c r="Q82" i="72"/>
  <c r="Q95" i="73"/>
  <c r="O113" i="71"/>
  <c r="O24" i="80"/>
  <c r="O82" i="72"/>
  <c r="O95" i="73"/>
  <c r="Q57" i="23"/>
  <c r="N24" i="80"/>
  <c r="N113" i="71"/>
  <c r="N82" i="72"/>
  <c r="N95" i="73"/>
  <c r="J95" i="73"/>
  <c r="J82" i="72"/>
  <c r="J24" i="80"/>
  <c r="J113" i="71"/>
  <c r="S57" i="23"/>
  <c r="P57" i="23"/>
  <c r="M82" i="72"/>
  <c r="M113" i="71"/>
  <c r="M95" i="73"/>
  <c r="M24" i="80"/>
  <c r="K24" i="80"/>
  <c r="K95" i="73"/>
  <c r="K113" i="71"/>
  <c r="K82" i="7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J109" i="72" a="1"/>
  <c r="J69" i="83" a="1"/>
  <c r="J107" i="73" a="1"/>
  <c r="H43" i="83"/>
  <c r="H46" i="83"/>
  <c r="H50" i="83"/>
  <c r="H48" i="83"/>
  <c r="H49" i="83"/>
  <c r="H44" i="83"/>
  <c r="H45" i="83"/>
  <c r="H52" i="83"/>
  <c r="H51" i="83"/>
  <c r="H47" i="83"/>
  <c r="H37" i="73"/>
  <c r="H40" i="73"/>
  <c r="H43" i="73"/>
  <c r="H44" i="73"/>
  <c r="H39" i="73"/>
  <c r="H38" i="73"/>
  <c r="H45" i="73"/>
  <c r="H46" i="73"/>
  <c r="H42" i="73"/>
  <c r="H41" i="73"/>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S295" i="53"/>
  <c r="R295" i="53"/>
  <c r="R286" i="53"/>
  <c r="R290" i="53"/>
  <c r="S290" i="53"/>
  <c r="R299" i="53"/>
  <c r="S279" i="53"/>
  <c r="R278" i="53"/>
  <c r="R301" i="53"/>
  <c r="S301" i="53"/>
  <c r="S287" i="53"/>
  <c r="R279" i="53"/>
  <c r="S275" i="53"/>
  <c r="R277" i="53"/>
  <c r="S277" i="53"/>
  <c r="S276" i="53"/>
  <c r="J39" i="55"/>
  <c r="H70" i="23" a="1"/>
  <c r="H70" i="23" s="1"/>
  <c r="A4" i="23" s="1"/>
  <c r="A4" i="70"/>
  <c r="J43" i="55"/>
  <c r="AC141" i="105" l="1"/>
  <c r="AC147" i="105"/>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N40" i="81"/>
  <c r="N48" i="81" s="1"/>
  <c r="M40" i="81"/>
  <c r="M48" i="81" s="1"/>
  <c r="K40" i="81"/>
  <c r="K48" i="81" s="1"/>
  <c r="H131" i="31"/>
  <c r="S150" i="31" s="1"/>
  <c r="H126" i="31"/>
  <c r="Q145" i="31" s="1"/>
  <c r="H136" i="31"/>
  <c r="O174" i="31" s="1"/>
  <c r="H138" i="31"/>
  <c r="P176" i="31" s="1"/>
  <c r="R40" i="81"/>
  <c r="R48" i="81" s="1"/>
  <c r="P40" i="81"/>
  <c r="P48" i="81" s="1"/>
  <c r="O40" i="81"/>
  <c r="O48" i="81" s="1"/>
  <c r="Q40" i="81"/>
  <c r="Q48" i="81" s="1"/>
  <c r="L40" i="81"/>
  <c r="L48"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M21" i="31"/>
  <c r="N20"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L145" i="31" l="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R174" i="31"/>
  <c r="N155" i="31"/>
  <c r="Q155" i="31"/>
  <c r="J157" i="31"/>
  <c r="S174" i="31"/>
  <c r="O176" i="31"/>
  <c r="K157" i="31"/>
  <c r="Q157" i="31"/>
  <c r="J176" i="31"/>
  <c r="M155" i="31"/>
  <c r="J155" i="31"/>
  <c r="N157" i="31"/>
  <c r="L157" i="31"/>
  <c r="M148" i="31"/>
  <c r="N174" i="31"/>
  <c r="K174" i="31"/>
  <c r="P174" i="31"/>
  <c r="R176" i="31"/>
  <c r="S176" i="31"/>
  <c r="P155" i="31"/>
  <c r="R155" i="31"/>
  <c r="K155" i="31"/>
  <c r="S155" i="31"/>
  <c r="R157" i="31"/>
  <c r="O157" i="31"/>
  <c r="R148" i="31"/>
  <c r="Q174" i="31"/>
  <c r="M176" i="31"/>
  <c r="Q147" i="3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N21" i="31"/>
  <c r="N23" i="31" s="1"/>
  <c r="O20" i="31"/>
  <c r="M23" i="31"/>
  <c r="P22" i="31"/>
  <c r="P23" i="3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R93" i="72" l="1" a="1"/>
  <c r="J80" i="73" a="1"/>
  <c r="J55" i="83" a="1"/>
  <c r="J34" i="80" a="1"/>
  <c r="P20" i="31"/>
  <c r="O21" i="31"/>
  <c r="O23" i="31"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Q34" i="80"/>
  <c r="Q35" i="80"/>
  <c r="Q36" i="80"/>
  <c r="Q37" i="80"/>
  <c r="Q38" i="80"/>
  <c r="Q39" i="80"/>
  <c r="Q40" i="80"/>
  <c r="Q41" i="80"/>
  <c r="Q42" i="80"/>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41" i="80"/>
  <c r="P40" i="80"/>
  <c r="P39" i="80"/>
  <c r="P38" i="80"/>
  <c r="P37" i="80"/>
  <c r="L41" i="80"/>
  <c r="L39" i="80"/>
  <c r="L37" i="80"/>
  <c r="X35" i="80"/>
  <c r="X106" i="80" s="1"/>
  <c r="P34" i="80"/>
  <c r="K42" i="80"/>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W39" i="80"/>
  <c r="W87" i="80" s="1"/>
  <c r="K37" i="80"/>
  <c r="W34" i="80"/>
  <c r="W128" i="80" s="1"/>
  <c r="V41" i="80"/>
  <c r="V112" i="80" s="1"/>
  <c r="V39" i="80"/>
  <c r="V87" i="80" s="1"/>
  <c r="L42" i="80"/>
  <c r="L40" i="80"/>
  <c r="L38" i="80"/>
  <c r="P36" i="80"/>
  <c r="L35" i="80"/>
  <c r="W42" i="80"/>
  <c r="W113" i="80" s="1"/>
  <c r="O41" i="80"/>
  <c r="K40" i="80"/>
  <c r="W38" i="80"/>
  <c r="W132" i="80" s="1"/>
  <c r="O37" i="80"/>
  <c r="K36" i="80"/>
  <c r="K35" i="80"/>
  <c r="K34" i="80"/>
  <c r="J42" i="80"/>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U105" i="80"/>
  <c r="T86" i="80"/>
  <c r="U128" i="80"/>
  <c r="U82" i="80"/>
  <c r="Q20" i="31"/>
  <c r="P21" i="31"/>
  <c r="S74" i="74"/>
  <c r="S78" i="74"/>
  <c r="S77" i="74"/>
  <c r="S73" i="74"/>
  <c r="S76" i="74"/>
  <c r="S75" i="74"/>
  <c r="S72" i="74"/>
  <c r="W105" i="80" l="1"/>
  <c r="V131" i="80"/>
  <c r="V85" i="80"/>
  <c r="W82" i="80"/>
  <c r="W84" i="80"/>
  <c r="W130" i="80"/>
  <c r="V107" i="80"/>
  <c r="T90" i="80"/>
  <c r="X128" i="80"/>
  <c r="Y111" i="80"/>
  <c r="X105" i="80"/>
  <c r="U133" i="80"/>
  <c r="U110" i="80"/>
  <c r="V130" i="80"/>
  <c r="U108" i="80"/>
  <c r="X83" i="80"/>
  <c r="U83" i="80"/>
  <c r="Y105" i="80"/>
  <c r="W135" i="80"/>
  <c r="Y128" i="80"/>
  <c r="V132" i="80"/>
  <c r="V129" i="80"/>
  <c r="U84" i="80"/>
  <c r="Y129" i="80"/>
  <c r="V106" i="80"/>
  <c r="V86" i="80"/>
  <c r="U106" i="80"/>
  <c r="W89" i="80"/>
  <c r="R204" i="80"/>
  <c r="R206" i="80" s="1"/>
  <c r="U107" i="80"/>
  <c r="W85" i="80"/>
  <c r="X109" i="80"/>
  <c r="V135" i="80"/>
  <c r="X134" i="80"/>
  <c r="Y204" i="80"/>
  <c r="T108" i="80"/>
  <c r="Y132" i="80"/>
  <c r="Y135" i="80"/>
  <c r="X130" i="80"/>
  <c r="X135" i="80"/>
  <c r="Y134" i="80"/>
  <c r="W133" i="80"/>
  <c r="X90" i="80"/>
  <c r="X133" i="80"/>
  <c r="T132" i="80"/>
  <c r="T152" i="83"/>
  <c r="T22" i="71" s="1"/>
  <c r="T127" i="71" s="1"/>
  <c r="X182" i="83"/>
  <c r="X53" i="71" s="1"/>
  <c r="X158" i="71" s="1"/>
  <c r="Y181" i="83"/>
  <c r="Y52" i="71" s="1"/>
  <c r="Y157" i="71" s="1"/>
  <c r="Y152" i="83"/>
  <c r="Y22" i="71" s="1"/>
  <c r="Y127" i="71" s="1"/>
  <c r="X153" i="83"/>
  <c r="X23" i="71" s="1"/>
  <c r="X128" i="71" s="1"/>
  <c r="T181" i="83"/>
  <c r="T52" i="71" s="1"/>
  <c r="T157" i="71" s="1"/>
  <c r="X124" i="83"/>
  <c r="T210" i="83"/>
  <c r="T82" i="71" s="1"/>
  <c r="T187" i="71" s="1"/>
  <c r="Y210" i="83"/>
  <c r="Y82" i="71" s="1"/>
  <c r="Y187" i="71" s="1"/>
  <c r="X131" i="80"/>
  <c r="U136" i="80"/>
  <c r="Y202" i="80"/>
  <c r="X210" i="83"/>
  <c r="X82" i="71" s="1"/>
  <c r="X187" i="71" s="1"/>
  <c r="Y106" i="80"/>
  <c r="V134" i="80"/>
  <c r="X89" i="80"/>
  <c r="X86" i="80"/>
  <c r="T131" i="80"/>
  <c r="W108" i="80"/>
  <c r="Y112" i="80"/>
  <c r="T105" i="80"/>
  <c r="X108" i="80"/>
  <c r="U202" i="80"/>
  <c r="X107" i="80"/>
  <c r="W129" i="80"/>
  <c r="S202" i="80"/>
  <c r="S206" i="80" s="1"/>
  <c r="T89" i="80"/>
  <c r="T112" i="80"/>
  <c r="V89" i="80"/>
  <c r="V88" i="80"/>
  <c r="Y136" i="80"/>
  <c r="Y113" i="80"/>
  <c r="U90" i="80"/>
  <c r="U204" i="80"/>
  <c r="W83" i="80"/>
  <c r="V211" i="83"/>
  <c r="V83" i="71" s="1"/>
  <c r="V188" i="71" s="1"/>
  <c r="T82" i="80"/>
  <c r="V182" i="83"/>
  <c r="V53" i="71" s="1"/>
  <c r="V158" i="71" s="1"/>
  <c r="V133" i="80"/>
  <c r="X123" i="83"/>
  <c r="U124" i="83"/>
  <c r="X181" i="83"/>
  <c r="X52" i="71" s="1"/>
  <c r="X157" i="71" s="1"/>
  <c r="V153" i="83"/>
  <c r="V23" i="71" s="1"/>
  <c r="V128" i="71" s="1"/>
  <c r="U211" i="83"/>
  <c r="U83" i="71" s="1"/>
  <c r="U188" i="71" s="1"/>
  <c r="V204" i="80"/>
  <c r="V136" i="80"/>
  <c r="U182" i="83"/>
  <c r="U53" i="71" s="1"/>
  <c r="U158" i="71" s="1"/>
  <c r="V110" i="80"/>
  <c r="T106" i="80"/>
  <c r="V90" i="80"/>
  <c r="Y110" i="80"/>
  <c r="T83" i="80"/>
  <c r="U111" i="80"/>
  <c r="W152" i="83"/>
  <c r="W22" i="71" s="1"/>
  <c r="W127" i="71" s="1"/>
  <c r="W153" i="83"/>
  <c r="W23" i="71" s="1"/>
  <c r="W128" i="71" s="1"/>
  <c r="W123" i="83"/>
  <c r="Y182" i="83"/>
  <c r="Y53" i="71" s="1"/>
  <c r="Y158" i="71" s="1"/>
  <c r="T87" i="80"/>
  <c r="Y87" i="80"/>
  <c r="T133" i="80"/>
  <c r="U132" i="80"/>
  <c r="U134" i="80"/>
  <c r="W182" i="83"/>
  <c r="W53" i="71" s="1"/>
  <c r="W158" i="71" s="1"/>
  <c r="V202" i="80"/>
  <c r="U109" i="80"/>
  <c r="W90" i="80"/>
  <c r="W136" i="80"/>
  <c r="X111" i="80"/>
  <c r="X113" i="80"/>
  <c r="U210" i="83"/>
  <c r="U82" i="71" s="1"/>
  <c r="U187" i="71" s="1"/>
  <c r="U181" i="83"/>
  <c r="U52" i="71" s="1"/>
  <c r="U157" i="71" s="1"/>
  <c r="Y84" i="80"/>
  <c r="Y86" i="80"/>
  <c r="T84" i="80"/>
  <c r="T153" i="83"/>
  <c r="T23" i="71" s="1"/>
  <c r="T128" i="71" s="1"/>
  <c r="U123" i="83"/>
  <c r="T182" i="83"/>
  <c r="T53" i="71" s="1"/>
  <c r="T158" i="71" s="1"/>
  <c r="W86" i="80"/>
  <c r="X202" i="80"/>
  <c r="X206" i="80" s="1"/>
  <c r="T211" i="83"/>
  <c r="T83" i="71" s="1"/>
  <c r="T188" i="71" s="1"/>
  <c r="V152" i="83"/>
  <c r="V22" i="71" s="1"/>
  <c r="V127" i="71" s="1"/>
  <c r="W88" i="80"/>
  <c r="Y107" i="80"/>
  <c r="W134" i="80"/>
  <c r="W109" i="80"/>
  <c r="T111" i="80"/>
  <c r="T107" i="80"/>
  <c r="T109" i="80"/>
  <c r="T136" i="80"/>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V105" i="80"/>
  <c r="U85" i="80"/>
  <c r="U135" i="80"/>
  <c r="U142" i="80"/>
  <c r="U168" i="80" s="1"/>
  <c r="X22" i="71"/>
  <c r="X127" i="71" s="1"/>
  <c r="Q21" i="31"/>
  <c r="Q23" i="31" s="1"/>
  <c r="R20" i="31"/>
  <c r="X188" i="71"/>
  <c r="W188" i="71"/>
  <c r="W157" i="71"/>
  <c r="U128" i="71"/>
  <c r="V145" i="80" l="1"/>
  <c r="V171" i="80" s="1"/>
  <c r="Y148" i="80"/>
  <c r="Y174" i="80" s="1"/>
  <c r="W142" i="80"/>
  <c r="W168" i="80" s="1"/>
  <c r="W144" i="80"/>
  <c r="W170" i="80" s="1"/>
  <c r="V144" i="80"/>
  <c r="V170" i="80" s="1"/>
  <c r="X142" i="80"/>
  <c r="X168" i="80" s="1"/>
  <c r="X143" i="80"/>
  <c r="X169" i="80" s="1"/>
  <c r="T150" i="80"/>
  <c r="T176" i="80" s="1"/>
  <c r="U145" i="80"/>
  <c r="U171" i="80" s="1"/>
  <c r="U147" i="80"/>
  <c r="U173" i="80" s="1"/>
  <c r="U143" i="80"/>
  <c r="U169" i="80" s="1"/>
  <c r="N148" i="41" a="1"/>
  <c r="AG148" i="41" a="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R21" i="31"/>
  <c r="R23" i="31" s="1"/>
  <c r="S20" i="31"/>
  <c r="S21" i="31" s="1"/>
  <c r="S23" i="31" s="1"/>
  <c r="R73" i="74"/>
  <c r="R72" i="74"/>
  <c r="R76" i="74"/>
  <c r="R75" i="74"/>
  <c r="R78" i="74"/>
  <c r="R77" i="74"/>
  <c r="R74" i="74"/>
  <c r="T208" i="80" l="1"/>
  <c r="H214" i="80" a="1"/>
  <c r="H214" i="80" s="1"/>
  <c r="O148" i="41" a="1"/>
  <c r="J148" i="41" a="1"/>
  <c r="AA148" i="41" a="1"/>
  <c r="AD148" i="41" a="1"/>
  <c r="U176" i="80"/>
  <c r="U177" i="80" s="1"/>
  <c r="W176" i="80"/>
  <c r="W177" i="80" s="1"/>
  <c r="Y176" i="80"/>
  <c r="Y177" i="80" s="1"/>
  <c r="X177" i="80"/>
  <c r="V177" i="80"/>
  <c r="T177" i="80"/>
  <c r="V208" i="80"/>
  <c r="X208" i="80"/>
  <c r="H183" i="31" a="1"/>
  <c r="H183" i="31" s="1"/>
  <c r="R87" i="83"/>
  <c r="R75" i="80"/>
  <c r="R87" i="80" s="1"/>
  <c r="R95" i="83"/>
  <c r="R94" i="80"/>
  <c r="R106" i="80" s="1"/>
  <c r="R83" i="83"/>
  <c r="R71" i="80"/>
  <c r="R83" i="80" s="1"/>
  <c r="R84" i="83"/>
  <c r="R72" i="80"/>
  <c r="R84" i="80" s="1"/>
  <c r="R112" i="83"/>
  <c r="R122" i="80"/>
  <c r="R134" i="80" s="1"/>
  <c r="R106" i="83"/>
  <c r="R211" i="83" s="1"/>
  <c r="R83" i="71" s="1"/>
  <c r="R105" i="83"/>
  <c r="R210" i="83" s="1"/>
  <c r="R82" i="71" s="1"/>
  <c r="R116" i="80"/>
  <c r="R128" i="80" s="1"/>
  <c r="R101" i="83"/>
  <c r="R100" i="80"/>
  <c r="R112" i="80" s="1"/>
  <c r="S87" i="83"/>
  <c r="S75" i="80"/>
  <c r="S87" i="80" s="1"/>
  <c r="S86" i="83"/>
  <c r="S74" i="80"/>
  <c r="S86" i="80" s="1"/>
  <c r="S100" i="83"/>
  <c r="S99" i="80"/>
  <c r="S111" i="80" s="1"/>
  <c r="S102" i="83"/>
  <c r="S101" i="80"/>
  <c r="S113" i="80" s="1"/>
  <c r="S96" i="83"/>
  <c r="S95" i="80"/>
  <c r="S107" i="80" s="1"/>
  <c r="S93" i="83"/>
  <c r="S181" i="83" s="1"/>
  <c r="S52" i="71" s="1"/>
  <c r="S94" i="83"/>
  <c r="S182" i="83" s="1"/>
  <c r="S53" i="71" s="1"/>
  <c r="S93" i="80"/>
  <c r="S105" i="80" s="1"/>
  <c r="S111" i="83"/>
  <c r="S121" i="80"/>
  <c r="S133" i="80" s="1"/>
  <c r="R100" i="83"/>
  <c r="R99" i="80"/>
  <c r="R111" i="80" s="1"/>
  <c r="R98" i="83"/>
  <c r="R97" i="80"/>
  <c r="R109" i="80" s="1"/>
  <c r="R110" i="83"/>
  <c r="R120" i="80"/>
  <c r="R132" i="80" s="1"/>
  <c r="R86" i="83"/>
  <c r="R74" i="80"/>
  <c r="R86" i="80" s="1"/>
  <c r="R109" i="83"/>
  <c r="R119" i="80"/>
  <c r="R131" i="80" s="1"/>
  <c r="R94" i="83"/>
  <c r="R182" i="83" s="1"/>
  <c r="R53" i="71" s="1"/>
  <c r="R93" i="83"/>
  <c r="R181" i="83" s="1"/>
  <c r="R52" i="71" s="1"/>
  <c r="R93" i="80"/>
  <c r="R105" i="80" s="1"/>
  <c r="S109" i="83"/>
  <c r="S119" i="80"/>
  <c r="S131" i="80" s="1"/>
  <c r="S85" i="83"/>
  <c r="S73" i="80"/>
  <c r="S85" i="80" s="1"/>
  <c r="S108" i="83"/>
  <c r="S118" i="80"/>
  <c r="S130" i="80" s="1"/>
  <c r="S95" i="83"/>
  <c r="S94" i="80"/>
  <c r="S106" i="80" s="1"/>
  <c r="S88" i="83"/>
  <c r="S76" i="80"/>
  <c r="S88" i="80" s="1"/>
  <c r="S114" i="83"/>
  <c r="S124" i="80"/>
  <c r="S136" i="80" s="1"/>
  <c r="R89" i="83"/>
  <c r="R77" i="80"/>
  <c r="R89" i="80" s="1"/>
  <c r="R111" i="83"/>
  <c r="R121" i="80"/>
  <c r="R133" i="80" s="1"/>
  <c r="R107" i="83"/>
  <c r="R117" i="80"/>
  <c r="R129" i="80" s="1"/>
  <c r="R108" i="83"/>
  <c r="R118" i="80"/>
  <c r="R130" i="80" s="1"/>
  <c r="R90" i="83"/>
  <c r="R78" i="80"/>
  <c r="R90" i="80" s="1"/>
  <c r="R114" i="83"/>
  <c r="R124" i="80"/>
  <c r="R136" i="80" s="1"/>
  <c r="R82" i="83"/>
  <c r="R153" i="83" s="1"/>
  <c r="R23" i="71" s="1"/>
  <c r="R81" i="83"/>
  <c r="R152" i="83" s="1"/>
  <c r="R22" i="71" s="1"/>
  <c r="R127" i="71" s="1"/>
  <c r="R70" i="80"/>
  <c r="R82" i="80" s="1"/>
  <c r="S89" i="83"/>
  <c r="S77" i="80"/>
  <c r="S89" i="80" s="1"/>
  <c r="S99" i="83"/>
  <c r="S98" i="80"/>
  <c r="S110" i="80" s="1"/>
  <c r="S107" i="83"/>
  <c r="S117" i="80"/>
  <c r="S129" i="80" s="1"/>
  <c r="S84" i="83"/>
  <c r="S72" i="80"/>
  <c r="S84" i="80" s="1"/>
  <c r="S106" i="83"/>
  <c r="S211" i="83" s="1"/>
  <c r="S83" i="71" s="1"/>
  <c r="S105" i="83"/>
  <c r="S210" i="83" s="1"/>
  <c r="S82" i="71" s="1"/>
  <c r="S116" i="80"/>
  <c r="S128" i="80" s="1"/>
  <c r="S97" i="83"/>
  <c r="S96" i="80"/>
  <c r="S108" i="80" s="1"/>
  <c r="S82" i="83"/>
  <c r="S153" i="83" s="1"/>
  <c r="S23" i="71" s="1"/>
  <c r="S81" i="83"/>
  <c r="S152" i="83" s="1"/>
  <c r="S70" i="80"/>
  <c r="S82" i="80" s="1"/>
  <c r="R88" i="83"/>
  <c r="R76" i="80"/>
  <c r="R88" i="80" s="1"/>
  <c r="R113" i="83"/>
  <c r="R123" i="80"/>
  <c r="R135" i="80" s="1"/>
  <c r="R85" i="83"/>
  <c r="R73" i="80"/>
  <c r="R85" i="80" s="1"/>
  <c r="R102" i="83"/>
  <c r="R101" i="80"/>
  <c r="R113" i="80" s="1"/>
  <c r="R99" i="83"/>
  <c r="R98" i="80"/>
  <c r="R110" i="80" s="1"/>
  <c r="R96" i="83"/>
  <c r="R95" i="80"/>
  <c r="R107" i="80" s="1"/>
  <c r="R97" i="83"/>
  <c r="R96" i="80"/>
  <c r="R108" i="80" s="1"/>
  <c r="S98" i="83"/>
  <c r="S97" i="80"/>
  <c r="S109" i="80" s="1"/>
  <c r="S113" i="83"/>
  <c r="S123" i="80"/>
  <c r="S135" i="80" s="1"/>
  <c r="S110" i="83"/>
  <c r="S120" i="80"/>
  <c r="S132" i="80" s="1"/>
  <c r="S83" i="83"/>
  <c r="S71" i="80"/>
  <c r="S83" i="80" s="1"/>
  <c r="S112" i="83"/>
  <c r="S122" i="80"/>
  <c r="S134" i="80" s="1"/>
  <c r="S90" i="83"/>
  <c r="S78" i="80"/>
  <c r="S90" i="80" s="1"/>
  <c r="S101" i="83"/>
  <c r="S100" i="80"/>
  <c r="S112" i="80" s="1"/>
  <c r="H219" i="80" l="1"/>
  <c r="H231" i="80" s="1"/>
  <c r="H218" i="80"/>
  <c r="H230" i="80" s="1"/>
  <c r="H222" i="80"/>
  <c r="H220" i="80"/>
  <c r="H232" i="80" s="1"/>
  <c r="H215" i="80"/>
  <c r="H227" i="80" s="1"/>
  <c r="H217" i="80"/>
  <c r="H229" i="80" s="1"/>
  <c r="H221" i="80"/>
  <c r="H233" i="80" s="1"/>
  <c r="H216" i="80"/>
  <c r="H228" i="80" s="1"/>
  <c r="H226" i="80"/>
  <c r="R148" i="80"/>
  <c r="R174" i="80" s="1"/>
  <c r="S144" i="80"/>
  <c r="S170" i="80" s="1"/>
  <c r="R142" i="80"/>
  <c r="R168" i="80" s="1"/>
  <c r="J44" i="55"/>
  <c r="A4" i="31"/>
  <c r="S143" i="80"/>
  <c r="S169" i="80" s="1"/>
  <c r="S150" i="80"/>
  <c r="S208" i="80" s="1"/>
  <c r="R146" i="80"/>
  <c r="R172" i="80" s="1"/>
  <c r="S142" i="80"/>
  <c r="S168" i="80" s="1"/>
  <c r="S22" i="71"/>
  <c r="S148" i="80"/>
  <c r="S174" i="80" s="1"/>
  <c r="S146" i="80"/>
  <c r="S172" i="80" s="1"/>
  <c r="R145" i="80"/>
  <c r="R171" i="80" s="1"/>
  <c r="R150" i="80"/>
  <c r="R149" i="80"/>
  <c r="R175" i="80" s="1"/>
  <c r="R143" i="80"/>
  <c r="R169" i="80" s="1"/>
  <c r="R147" i="80"/>
  <c r="R173" i="80" s="1"/>
  <c r="S145" i="80"/>
  <c r="S171" i="80" s="1"/>
  <c r="S147" i="80"/>
  <c r="S173" i="80" s="1"/>
  <c r="S149" i="80"/>
  <c r="S175" i="80" s="1"/>
  <c r="R144" i="80"/>
  <c r="R170" i="80" s="1"/>
  <c r="R188" i="71"/>
  <c r="R187" i="71"/>
  <c r="R128" i="71"/>
  <c r="R158" i="71"/>
  <c r="R157" i="71"/>
  <c r="K56" i="82" l="1" a="1"/>
  <c r="S241" i="80"/>
  <c r="Y254" i="80"/>
  <c r="T241" i="80"/>
  <c r="X241" i="80"/>
  <c r="W254" i="80"/>
  <c r="R254" i="80"/>
  <c r="V254" i="80"/>
  <c r="Y241" i="80"/>
  <c r="U241" i="80"/>
  <c r="U254" i="80"/>
  <c r="T254" i="80"/>
  <c r="H26" i="73"/>
  <c r="X254" i="80"/>
  <c r="S254" i="80"/>
  <c r="R241" i="80"/>
  <c r="W241" i="80"/>
  <c r="V241" i="80"/>
  <c r="H29" i="73"/>
  <c r="W257" i="80"/>
  <c r="U257" i="80"/>
  <c r="T244" i="80"/>
  <c r="X244" i="80"/>
  <c r="Y244" i="80"/>
  <c r="T257" i="80"/>
  <c r="V257" i="80"/>
  <c r="Y257" i="80"/>
  <c r="W244" i="80"/>
  <c r="R257" i="80"/>
  <c r="S244" i="80"/>
  <c r="R244" i="80"/>
  <c r="U244" i="80"/>
  <c r="V244" i="80"/>
  <c r="S257" i="80"/>
  <c r="X257" i="80"/>
  <c r="S176" i="80"/>
  <c r="S177" i="80" s="1"/>
  <c r="S240" i="80"/>
  <c r="X240" i="80"/>
  <c r="T240" i="80"/>
  <c r="V240" i="80"/>
  <c r="W253" i="80"/>
  <c r="R253" i="80"/>
  <c r="V253" i="80"/>
  <c r="H25" i="73"/>
  <c r="Y240" i="80"/>
  <c r="W240" i="80"/>
  <c r="U253" i="80"/>
  <c r="T253" i="80"/>
  <c r="S253" i="80"/>
  <c r="X253" i="80"/>
  <c r="Y253" i="80"/>
  <c r="R240" i="80"/>
  <c r="U240" i="80"/>
  <c r="W255" i="80"/>
  <c r="S255" i="80"/>
  <c r="V255" i="80"/>
  <c r="U255" i="80"/>
  <c r="H27" i="73"/>
  <c r="W242" i="80"/>
  <c r="R242" i="80"/>
  <c r="V242" i="80"/>
  <c r="Y255" i="80"/>
  <c r="T255" i="80"/>
  <c r="U242" i="80"/>
  <c r="T242" i="80"/>
  <c r="R255" i="80"/>
  <c r="X255" i="80"/>
  <c r="S242" i="80"/>
  <c r="Y242" i="80"/>
  <c r="X242" i="80"/>
  <c r="H30" i="73"/>
  <c r="W258" i="80"/>
  <c r="R258" i="80"/>
  <c r="R245" i="80"/>
  <c r="V245" i="80"/>
  <c r="S245" i="80"/>
  <c r="U245" i="80"/>
  <c r="X245" i="80"/>
  <c r="Y258" i="80"/>
  <c r="T245" i="80"/>
  <c r="U258" i="80"/>
  <c r="W245" i="80"/>
  <c r="T258" i="80"/>
  <c r="S258" i="80"/>
  <c r="X258" i="80"/>
  <c r="Y245" i="80"/>
  <c r="V258" i="80"/>
  <c r="W239" i="80"/>
  <c r="W252" i="80"/>
  <c r="V252" i="80"/>
  <c r="T252" i="80"/>
  <c r="H24" i="73"/>
  <c r="Y239" i="80"/>
  <c r="U252" i="80"/>
  <c r="R239" i="80"/>
  <c r="S252" i="80"/>
  <c r="V239" i="80"/>
  <c r="Y252" i="80"/>
  <c r="T239" i="80"/>
  <c r="S239" i="80"/>
  <c r="R252" i="80"/>
  <c r="X239" i="80"/>
  <c r="X252" i="80"/>
  <c r="H23" i="73"/>
  <c r="U239" i="80"/>
  <c r="Y256" i="80"/>
  <c r="X243" i="80"/>
  <c r="R243" i="80"/>
  <c r="T243" i="80"/>
  <c r="S256" i="80"/>
  <c r="V243" i="80"/>
  <c r="R256" i="80"/>
  <c r="H28" i="73"/>
  <c r="S243" i="80"/>
  <c r="X256" i="80"/>
  <c r="V256" i="80"/>
  <c r="Y243" i="80"/>
  <c r="T256" i="80"/>
  <c r="W256" i="80"/>
  <c r="U256" i="80"/>
  <c r="W243" i="80"/>
  <c r="U243" i="80"/>
  <c r="H31" i="73"/>
  <c r="Y259" i="80"/>
  <c r="X259" i="80"/>
  <c r="X246" i="80"/>
  <c r="T259" i="80"/>
  <c r="S246" i="80"/>
  <c r="T246" i="80"/>
  <c r="U259" i="80"/>
  <c r="W259" i="80"/>
  <c r="R246" i="80"/>
  <c r="V246" i="80"/>
  <c r="V259" i="80"/>
  <c r="Y246" i="80"/>
  <c r="R259" i="80"/>
  <c r="W246" i="80"/>
  <c r="U246" i="80"/>
  <c r="S259" i="80"/>
  <c r="S188" i="71"/>
  <c r="S128" i="71"/>
  <c r="S157" i="71"/>
  <c r="S187" i="71"/>
  <c r="S158" i="71"/>
  <c r="S127" i="71"/>
  <c r="R176" i="80"/>
  <c r="R177" i="80" s="1"/>
  <c r="R208" i="80"/>
  <c r="K56" i="82" l="1"/>
  <c r="N56" i="82"/>
  <c r="M56" i="82"/>
  <c r="L56" i="82"/>
  <c r="O56" i="82"/>
  <c r="Y272" i="80"/>
  <c r="U276" i="80"/>
  <c r="W274" i="80"/>
  <c r="X272" i="80"/>
  <c r="U269" i="80"/>
  <c r="S273" i="80"/>
  <c r="S269" i="80"/>
  <c r="S271" i="80"/>
  <c r="R275" i="80"/>
  <c r="T275" i="80"/>
  <c r="R272" i="80"/>
  <c r="U270" i="80"/>
  <c r="R274" i="80"/>
  <c r="V272" i="80"/>
  <c r="R270" i="80"/>
  <c r="T274" i="80"/>
  <c r="R271" i="80"/>
  <c r="Y270" i="80"/>
  <c r="W273" i="80"/>
  <c r="X276" i="80"/>
  <c r="R269" i="80"/>
  <c r="R276" i="80"/>
  <c r="S270" i="80"/>
  <c r="Y276" i="80"/>
  <c r="Y273" i="80"/>
  <c r="W269" i="80"/>
  <c r="S274" i="80"/>
  <c r="S275" i="80"/>
  <c r="S276" i="80"/>
  <c r="T273" i="80"/>
  <c r="R273" i="80"/>
  <c r="X269" i="80"/>
  <c r="U272" i="80"/>
  <c r="W272" i="80"/>
  <c r="S272" i="80"/>
  <c r="W270" i="80"/>
  <c r="U274" i="80"/>
  <c r="Y274" i="80"/>
  <c r="T271" i="80"/>
  <c r="V275" i="80"/>
  <c r="X274" i="80"/>
  <c r="W276" i="80"/>
  <c r="V276" i="80"/>
  <c r="T276" i="80"/>
  <c r="V273" i="80"/>
  <c r="X273" i="80"/>
  <c r="V269" i="80"/>
  <c r="Y269" i="80"/>
  <c r="Y275" i="80"/>
  <c r="W275" i="80"/>
  <c r="X275" i="80"/>
  <c r="T272" i="80"/>
  <c r="V270" i="80"/>
  <c r="V271" i="80"/>
  <c r="U271" i="80"/>
  <c r="X270" i="80"/>
  <c r="U273" i="80"/>
  <c r="T269" i="80"/>
  <c r="U275" i="80"/>
  <c r="T270" i="80"/>
  <c r="V274" i="80"/>
  <c r="W271" i="80"/>
  <c r="Y271" i="80"/>
  <c r="X271" i="80"/>
  <c r="S79" i="74" l="1"/>
  <c r="R79" i="74"/>
  <c r="S84" i="74" l="1"/>
  <c r="S91" i="74"/>
  <c r="S85" i="74"/>
  <c r="S86" i="74"/>
  <c r="S92" i="74"/>
  <c r="S89" i="74"/>
  <c r="S87" i="74"/>
  <c r="S90" i="74"/>
  <c r="S93" i="74"/>
  <c r="S88" i="74"/>
  <c r="R85" i="74"/>
  <c r="R87" i="74"/>
  <c r="R86" i="74"/>
  <c r="R84" i="74"/>
  <c r="R93" i="74"/>
  <c r="R92" i="74"/>
  <c r="R89" i="74"/>
  <c r="R88" i="74"/>
  <c r="R90" i="74"/>
  <c r="R91" i="74"/>
  <c r="N21" i="112" l="1"/>
  <c r="N38" i="112" l="1"/>
  <c r="N39" i="112"/>
  <c r="N40" i="112"/>
  <c r="H45" i="112" s="1"/>
  <c r="J50" i="112" l="1"/>
  <c r="L50" i="112"/>
  <c r="N50" i="112"/>
  <c r="O50" i="112"/>
  <c r="P50" i="112"/>
  <c r="Y208" i="41" l="1"/>
  <c r="O208" i="41"/>
  <c r="AC208" i="41"/>
  <c r="N208" i="41"/>
  <c r="AE208" i="41"/>
  <c r="T208" i="41"/>
  <c r="Z208" i="41"/>
  <c r="AA208" i="41"/>
  <c r="V208" i="41" l="1"/>
  <c r="AD208" i="41"/>
  <c r="P208" i="41"/>
  <c r="U208" i="41"/>
  <c r="M208" i="41"/>
  <c r="AG199" i="41"/>
  <c r="AF208" i="41"/>
  <c r="X208" i="41"/>
  <c r="S208" i="41"/>
  <c r="J208" i="41" l="1"/>
  <c r="J67" i="22" l="1"/>
  <c r="J528" i="22" s="1"/>
  <c r="J22" i="105" s="1"/>
  <c r="J199" i="22" l="1"/>
  <c r="J231" i="22" s="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A159" i="65" l="1"/>
  <c r="AA64" i="105" s="1"/>
  <c r="AA182" i="105" l="1"/>
  <c r="AA189" i="105" s="1"/>
  <c r="AA105" i="105"/>
  <c r="AA112" i="105" s="1"/>
  <c r="AJ141" i="105" l="1"/>
  <c r="AJ147" i="105"/>
  <c r="K208" i="41" l="1"/>
  <c r="Z148" i="41" a="1"/>
  <c r="U148" i="41" a="1"/>
  <c r="S148" i="41" a="1"/>
  <c r="P148" i="41" a="1"/>
  <c r="AF148" i="41" a="1"/>
  <c r="V148" i="41" a="1"/>
  <c r="X148" i="41" a="1"/>
  <c r="T148" i="41" a="1"/>
  <c r="Y148" i="41" a="1"/>
  <c r="M148" i="41" a="1"/>
  <c r="AC148" i="41" a="1"/>
  <c r="AE148" i="41" a="1"/>
  <c r="K167" i="41"/>
  <c r="K175" i="41" s="1"/>
  <c r="H29" i="82" l="1"/>
  <c r="H31" i="112" l="1"/>
  <c r="H43" i="112" s="1"/>
  <c r="J48" i="112" s="1"/>
  <c r="H64" i="41"/>
  <c r="H70" i="89" l="1"/>
  <c r="H32" i="112" l="1"/>
  <c r="H44" i="112" s="1"/>
  <c r="H65" i="41"/>
  <c r="H57" i="89"/>
  <c r="O49" i="112" l="1"/>
  <c r="O51" i="112" s="1"/>
  <c r="P49" i="112"/>
  <c r="P51" i="112" s="1"/>
  <c r="N49" i="112"/>
  <c r="N51" i="112" s="1"/>
  <c r="L49" i="112"/>
  <c r="L51" i="112" s="1"/>
  <c r="J49" i="112"/>
  <c r="J51" i="112" s="1"/>
  <c r="J29" i="41" l="1"/>
  <c r="J48" i="41" s="1"/>
  <c r="J55" i="112"/>
  <c r="J59" i="112"/>
  <c r="L59" i="112"/>
  <c r="L29" i="41"/>
  <c r="L55" i="112"/>
  <c r="O59" i="112"/>
  <c r="O55" i="112"/>
  <c r="O29" i="41"/>
  <c r="N59" i="112"/>
  <c r="N55" i="112"/>
  <c r="N29" i="41"/>
  <c r="P29" i="41"/>
  <c r="P59" i="112"/>
  <c r="P55" i="112"/>
  <c r="N65" i="112" l="1"/>
  <c r="H61" i="112"/>
  <c r="H87" i="105" s="1"/>
  <c r="H130" i="105" s="1"/>
  <c r="O65" i="112"/>
  <c r="L65" i="112"/>
  <c r="Y48" i="41"/>
  <c r="Y47" i="65" s="1"/>
  <c r="Y49" i="82" s="1"/>
  <c r="Z48" i="41"/>
  <c r="Z47" i="65" s="1"/>
  <c r="Z49" i="82" s="1"/>
  <c r="AA48" i="41"/>
  <c r="AA47" i="65" s="1"/>
  <c r="AA49" i="82" s="1"/>
  <c r="X48" i="41"/>
  <c r="X47" i="65" s="1"/>
  <c r="X49" i="82" s="1"/>
  <c r="W48" i="41"/>
  <c r="W47" i="65" s="1"/>
  <c r="W49" i="82" s="1"/>
  <c r="P65" i="112"/>
  <c r="AB48" i="41"/>
  <c r="AB47" i="65" s="1"/>
  <c r="AB49" i="82" s="1"/>
  <c r="AC48" i="41"/>
  <c r="AC47" i="65" s="1"/>
  <c r="AC49" i="82" s="1"/>
  <c r="AE48" i="41"/>
  <c r="AE47" i="65" s="1"/>
  <c r="AE49" i="82" s="1"/>
  <c r="AF48" i="41"/>
  <c r="AF47" i="65" s="1"/>
  <c r="AF49" i="82" s="1"/>
  <c r="AD48" i="41"/>
  <c r="AD47" i="65" s="1"/>
  <c r="AD49" i="82" s="1"/>
  <c r="O48" i="41"/>
  <c r="O47" i="65" s="1"/>
  <c r="O49" i="82" s="1"/>
  <c r="L48" i="41"/>
  <c r="L47" i="65" s="1"/>
  <c r="L49" i="82" s="1"/>
  <c r="N48" i="41"/>
  <c r="N47" i="65" s="1"/>
  <c r="N49" i="82" s="1"/>
  <c r="M48" i="41"/>
  <c r="M47" i="65" s="1"/>
  <c r="M49" i="82" s="1"/>
  <c r="P48" i="41"/>
  <c r="P47" i="65" s="1"/>
  <c r="P49" i="82" s="1"/>
  <c r="T48" i="41"/>
  <c r="T47" i="65" s="1"/>
  <c r="T49" i="82" s="1"/>
  <c r="U48" i="41"/>
  <c r="U47" i="65" s="1"/>
  <c r="U49" i="82" s="1"/>
  <c r="S48" i="41"/>
  <c r="S47" i="65" s="1"/>
  <c r="S49" i="82" s="1"/>
  <c r="V48" i="41"/>
  <c r="V47" i="65" s="1"/>
  <c r="V49" i="82" s="1"/>
  <c r="R48" i="41"/>
  <c r="R47" i="65" s="1"/>
  <c r="R49" i="82" s="1"/>
  <c r="J65" i="112"/>
  <c r="H57" i="112"/>
  <c r="H86" i="105" s="1"/>
  <c r="H129" i="105" s="1"/>
  <c r="J47" i="65"/>
  <c r="J49" i="82" s="1"/>
  <c r="H67" i="112" l="1"/>
  <c r="H69" i="112" s="1"/>
  <c r="H71" i="112" s="1" a="1"/>
  <c r="H71" i="112" s="1"/>
  <c r="A4" i="112" s="1"/>
  <c r="J57" i="55" l="1"/>
  <c r="H73" i="89" l="1"/>
  <c r="H81" i="89" s="1"/>
  <c r="H88" i="89" l="1"/>
  <c r="H61" i="41" s="1"/>
  <c r="H83" i="105" l="1"/>
  <c r="H126" i="105" s="1"/>
  <c r="H68" i="41"/>
  <c r="S54" i="81" l="1"/>
  <c r="L54" i="81" l="1"/>
  <c r="M54" i="81"/>
  <c r="M55" i="81" s="1"/>
  <c r="M56" i="81" s="1"/>
  <c r="M114" i="81" s="1"/>
  <c r="S129" i="81"/>
  <c r="S55" i="81"/>
  <c r="S56" i="81" s="1"/>
  <c r="S114" i="81" s="1"/>
  <c r="O54" i="81"/>
  <c r="P54" i="81"/>
  <c r="P129" i="81" s="1"/>
  <c r="Q54" i="81"/>
  <c r="R54" i="81"/>
  <c r="N54" i="81"/>
  <c r="Q129" i="81" l="1"/>
  <c r="Q55" i="81"/>
  <c r="Q56" i="81" s="1"/>
  <c r="Q114" i="81" s="1"/>
  <c r="O129" i="81"/>
  <c r="O55" i="81"/>
  <c r="O56" i="81" s="1"/>
  <c r="O114" i="81" s="1"/>
  <c r="H47" i="86" a="1"/>
  <c r="H47" i="86" s="1"/>
  <c r="H56" i="86" s="1"/>
  <c r="N55" i="81"/>
  <c r="N56" i="81" s="1"/>
  <c r="N114" i="81" s="1"/>
  <c r="N129" i="81"/>
  <c r="R55" i="81"/>
  <c r="R56" i="81" s="1"/>
  <c r="R114" i="81" s="1"/>
  <c r="R129" i="81"/>
  <c r="L55" i="81"/>
  <c r="L56" i="81" s="1"/>
  <c r="L114" i="81" s="1"/>
  <c r="H129" i="81" l="1"/>
  <c r="A4" i="86"/>
  <c r="J41" i="55"/>
  <c r="H53" i="73" a="1"/>
  <c r="H20" i="83" a="1"/>
  <c r="H51" i="72" a="1"/>
  <c r="H54" i="72" l="1"/>
  <c r="H58" i="72"/>
  <c r="H52" i="72"/>
  <c r="H55" i="72"/>
  <c r="H56" i="72"/>
  <c r="H51" i="72"/>
  <c r="H57" i="72"/>
  <c r="H53" i="72"/>
  <c r="H23" i="83"/>
  <c r="H20" i="83"/>
  <c r="H27" i="83"/>
  <c r="H21" i="83"/>
  <c r="H26" i="83"/>
  <c r="H22" i="83"/>
  <c r="H25" i="83"/>
  <c r="H24" i="83"/>
  <c r="H53" i="73"/>
  <c r="H58" i="73"/>
  <c r="H55" i="73"/>
  <c r="H57" i="73"/>
  <c r="H59" i="73"/>
  <c r="H60" i="73"/>
  <c r="H54" i="73"/>
  <c r="H56" i="73"/>
  <c r="N137" i="73" l="1"/>
  <c r="P167" i="73"/>
  <c r="P227" i="73" s="1"/>
  <c r="K137" i="73"/>
  <c r="P137" i="73"/>
  <c r="O167" i="73"/>
  <c r="O227" i="73" s="1"/>
  <c r="M137" i="73"/>
  <c r="L137" i="73"/>
  <c r="N167" i="73"/>
  <c r="N227" i="73" s="1"/>
  <c r="J137" i="73"/>
  <c r="M167" i="73"/>
  <c r="M227" i="73" s="1"/>
  <c r="K167" i="73"/>
  <c r="K227" i="73" s="1"/>
  <c r="L167" i="73"/>
  <c r="L227" i="73" s="1"/>
  <c r="Q167" i="73"/>
  <c r="Q227" i="73" s="1"/>
  <c r="O137" i="73"/>
  <c r="Q137" i="73"/>
  <c r="J167" i="73"/>
  <c r="J227" i="73" s="1"/>
  <c r="V158" i="83"/>
  <c r="V28" i="71" s="1"/>
  <c r="V133" i="71" s="1"/>
  <c r="U187" i="83"/>
  <c r="U58" i="71" s="1"/>
  <c r="U163" i="71" s="1"/>
  <c r="X187" i="83"/>
  <c r="X58" i="71" s="1"/>
  <c r="X163" i="71" s="1"/>
  <c r="Y216" i="83"/>
  <c r="Y88" i="71" s="1"/>
  <c r="Y193" i="71" s="1"/>
  <c r="W129" i="83"/>
  <c r="S129" i="83"/>
  <c r="X129" i="83"/>
  <c r="X158" i="83"/>
  <c r="X28" i="71" s="1"/>
  <c r="X133" i="71" s="1"/>
  <c r="V129" i="83"/>
  <c r="T216" i="83"/>
  <c r="T88" i="71" s="1"/>
  <c r="T193" i="71" s="1"/>
  <c r="Y187" i="83"/>
  <c r="Y58" i="71" s="1"/>
  <c r="Y163" i="71" s="1"/>
  <c r="T187" i="83"/>
  <c r="T58" i="71" s="1"/>
  <c r="T163" i="71" s="1"/>
  <c r="T158" i="83"/>
  <c r="T28" i="71" s="1"/>
  <c r="T133" i="71" s="1"/>
  <c r="U129" i="83"/>
  <c r="V187" i="83"/>
  <c r="V58" i="71" s="1"/>
  <c r="V163" i="71" s="1"/>
  <c r="U158" i="83"/>
  <c r="U28" i="71" s="1"/>
  <c r="U133" i="71" s="1"/>
  <c r="Y158" i="83"/>
  <c r="Y28" i="71" s="1"/>
  <c r="Y133" i="71" s="1"/>
  <c r="W158" i="83"/>
  <c r="W28" i="71" s="1"/>
  <c r="W133" i="71" s="1"/>
  <c r="Q129" i="83"/>
  <c r="Q129" i="72" s="1"/>
  <c r="Q199" i="72" s="1"/>
  <c r="Q229" i="72" s="1"/>
  <c r="T129" i="83"/>
  <c r="W216" i="83"/>
  <c r="W88" i="71" s="1"/>
  <c r="W193" i="71" s="1"/>
  <c r="W187" i="83"/>
  <c r="W58" i="71" s="1"/>
  <c r="W163" i="71" s="1"/>
  <c r="R129" i="83"/>
  <c r="V216" i="83"/>
  <c r="V88" i="71" s="1"/>
  <c r="V193" i="71" s="1"/>
  <c r="U216" i="83"/>
  <c r="U88" i="71" s="1"/>
  <c r="U193" i="71" s="1"/>
  <c r="Y129" i="83"/>
  <c r="X216" i="83"/>
  <c r="X88" i="71" s="1"/>
  <c r="X193" i="71" s="1"/>
  <c r="S158" i="83"/>
  <c r="S28" i="71" s="1"/>
  <c r="S133" i="71" s="1"/>
  <c r="R187" i="83"/>
  <c r="R58" i="71" s="1"/>
  <c r="R163" i="71" s="1"/>
  <c r="S216" i="83"/>
  <c r="S88" i="71" s="1"/>
  <c r="S193" i="71" s="1"/>
  <c r="S187" i="83"/>
  <c r="S58" i="71" s="1"/>
  <c r="S163" i="71" s="1"/>
  <c r="R158" i="83"/>
  <c r="R28" i="71" s="1"/>
  <c r="R133" i="71" s="1"/>
  <c r="R216" i="83"/>
  <c r="R88" i="71" s="1"/>
  <c r="R193" i="71" s="1"/>
  <c r="R130" i="83"/>
  <c r="Q130" i="83"/>
  <c r="Q130" i="72" s="1"/>
  <c r="Q200" i="72" s="1"/>
  <c r="Q230" i="72" s="1"/>
  <c r="T159" i="83"/>
  <c r="T29" i="71" s="1"/>
  <c r="T134" i="71" s="1"/>
  <c r="X188" i="83"/>
  <c r="X59" i="71" s="1"/>
  <c r="X164" i="71" s="1"/>
  <c r="W130" i="83"/>
  <c r="U188" i="83"/>
  <c r="U59" i="71" s="1"/>
  <c r="U164" i="71" s="1"/>
  <c r="Y188" i="83"/>
  <c r="Y59" i="71" s="1"/>
  <c r="Y164" i="71" s="1"/>
  <c r="U159" i="83"/>
  <c r="U29" i="71" s="1"/>
  <c r="U134" i="71" s="1"/>
  <c r="S130" i="83"/>
  <c r="V130" i="83"/>
  <c r="V188" i="83"/>
  <c r="V59" i="71" s="1"/>
  <c r="V164" i="71" s="1"/>
  <c r="W188" i="83"/>
  <c r="W59" i="71" s="1"/>
  <c r="W164" i="71" s="1"/>
  <c r="U217" i="83"/>
  <c r="U89" i="71" s="1"/>
  <c r="U194" i="71" s="1"/>
  <c r="X130" i="83"/>
  <c r="V159" i="83"/>
  <c r="V29" i="71" s="1"/>
  <c r="V134" i="71" s="1"/>
  <c r="T130" i="83"/>
  <c r="Y130" i="83"/>
  <c r="T188" i="83"/>
  <c r="T59" i="71" s="1"/>
  <c r="T164" i="71" s="1"/>
  <c r="Y217" i="83"/>
  <c r="Y89" i="71" s="1"/>
  <c r="Y194" i="71" s="1"/>
  <c r="T217" i="83"/>
  <c r="T89" i="71" s="1"/>
  <c r="T194" i="71" s="1"/>
  <c r="V217" i="83"/>
  <c r="V89" i="71" s="1"/>
  <c r="V194" i="71" s="1"/>
  <c r="X159" i="83"/>
  <c r="X29" i="71" s="1"/>
  <c r="X134" i="71" s="1"/>
  <c r="W217" i="83"/>
  <c r="W89" i="71" s="1"/>
  <c r="W194" i="71" s="1"/>
  <c r="Y159" i="83"/>
  <c r="Y29" i="71" s="1"/>
  <c r="Y134" i="71" s="1"/>
  <c r="X217" i="83"/>
  <c r="X89" i="71" s="1"/>
  <c r="X194" i="71" s="1"/>
  <c r="W159" i="83"/>
  <c r="W29" i="71" s="1"/>
  <c r="W134" i="71" s="1"/>
  <c r="U130" i="83"/>
  <c r="R159" i="83"/>
  <c r="R29" i="71" s="1"/>
  <c r="R134" i="71" s="1"/>
  <c r="R188" i="83"/>
  <c r="R59" i="71" s="1"/>
  <c r="R164" i="71" s="1"/>
  <c r="S159" i="83"/>
  <c r="S29" i="71" s="1"/>
  <c r="S134" i="71" s="1"/>
  <c r="R217" i="83"/>
  <c r="R89" i="71" s="1"/>
  <c r="R194" i="71" s="1"/>
  <c r="S188" i="83"/>
  <c r="S59" i="71" s="1"/>
  <c r="S164" i="71" s="1"/>
  <c r="S217" i="83"/>
  <c r="S89" i="71" s="1"/>
  <c r="S194" i="71" s="1"/>
  <c r="Y166" i="72"/>
  <c r="Y201" i="72" s="1"/>
  <c r="Y231" i="72" s="1"/>
  <c r="U166" i="72"/>
  <c r="U201" i="72" s="1"/>
  <c r="U231" i="72" s="1"/>
  <c r="S166" i="72"/>
  <c r="S201" i="72" s="1"/>
  <c r="S231" i="72" s="1"/>
  <c r="V166" i="72"/>
  <c r="V201" i="72" s="1"/>
  <c r="V231" i="72" s="1"/>
  <c r="X166" i="72"/>
  <c r="X201" i="72" s="1"/>
  <c r="X231" i="72" s="1"/>
  <c r="T166" i="72"/>
  <c r="T201" i="72" s="1"/>
  <c r="T231" i="72" s="1"/>
  <c r="R166" i="72"/>
  <c r="R201" i="72" s="1"/>
  <c r="R231" i="72" s="1"/>
  <c r="W166" i="72"/>
  <c r="W201" i="72" s="1"/>
  <c r="W231" i="72" s="1"/>
  <c r="Y156" i="83"/>
  <c r="Y26" i="71" s="1"/>
  <c r="Y131" i="71" s="1"/>
  <c r="W214" i="83"/>
  <c r="W86" i="71" s="1"/>
  <c r="W191" i="71" s="1"/>
  <c r="W185" i="83"/>
  <c r="W56" i="71" s="1"/>
  <c r="W161" i="71" s="1"/>
  <c r="Y214" i="83"/>
  <c r="Y86" i="71" s="1"/>
  <c r="Y191" i="71" s="1"/>
  <c r="T156" i="83"/>
  <c r="T26" i="71" s="1"/>
  <c r="T131" i="71" s="1"/>
  <c r="S127" i="83"/>
  <c r="U156" i="83"/>
  <c r="U26" i="71" s="1"/>
  <c r="U131" i="71" s="1"/>
  <c r="U185" i="83"/>
  <c r="U56" i="71" s="1"/>
  <c r="U161" i="71" s="1"/>
  <c r="Y185" i="83"/>
  <c r="Y56" i="71" s="1"/>
  <c r="Y161" i="71" s="1"/>
  <c r="V127" i="83"/>
  <c r="Y127" i="83"/>
  <c r="X214" i="83"/>
  <c r="X86" i="71" s="1"/>
  <c r="X191" i="71" s="1"/>
  <c r="X156" i="83"/>
  <c r="X26" i="71" s="1"/>
  <c r="X131" i="71" s="1"/>
  <c r="T185" i="83"/>
  <c r="T56" i="71" s="1"/>
  <c r="T161" i="71" s="1"/>
  <c r="U214" i="83"/>
  <c r="U86" i="71" s="1"/>
  <c r="U191" i="71" s="1"/>
  <c r="W127" i="83"/>
  <c r="V185" i="83"/>
  <c r="V56" i="71" s="1"/>
  <c r="V161" i="71" s="1"/>
  <c r="U127" i="83"/>
  <c r="X185" i="83"/>
  <c r="X56" i="71" s="1"/>
  <c r="X161" i="71" s="1"/>
  <c r="T214" i="83"/>
  <c r="T86" i="71" s="1"/>
  <c r="T191" i="71" s="1"/>
  <c r="V156" i="83"/>
  <c r="V26" i="71" s="1"/>
  <c r="V131" i="71" s="1"/>
  <c r="W156" i="83"/>
  <c r="W26" i="71" s="1"/>
  <c r="W131" i="71" s="1"/>
  <c r="Q127" i="83"/>
  <c r="Q127" i="72" s="1"/>
  <c r="Q197" i="72" s="1"/>
  <c r="Q227" i="72" s="1"/>
  <c r="X127" i="83"/>
  <c r="R127" i="83"/>
  <c r="V214" i="83"/>
  <c r="V86" i="71" s="1"/>
  <c r="V191" i="71" s="1"/>
  <c r="T127" i="83"/>
  <c r="S156" i="83"/>
  <c r="S26" i="71" s="1"/>
  <c r="S131" i="71" s="1"/>
  <c r="S214" i="83"/>
  <c r="S86" i="71" s="1"/>
  <c r="S191" i="71" s="1"/>
  <c r="R214" i="83"/>
  <c r="R86" i="71" s="1"/>
  <c r="R191" i="71" s="1"/>
  <c r="S185" i="83"/>
  <c r="S56" i="71" s="1"/>
  <c r="S161" i="71" s="1"/>
  <c r="R185" i="83"/>
  <c r="R56" i="71" s="1"/>
  <c r="R161" i="71" s="1"/>
  <c r="R156" i="83"/>
  <c r="R26" i="71" s="1"/>
  <c r="R131" i="71" s="1"/>
  <c r="K138" i="73"/>
  <c r="P168" i="73"/>
  <c r="P228" i="73" s="1"/>
  <c r="N138" i="73"/>
  <c r="L168" i="73"/>
  <c r="L228" i="73" s="1"/>
  <c r="M168" i="73"/>
  <c r="M228" i="73" s="1"/>
  <c r="K168" i="73"/>
  <c r="K228" i="73" s="1"/>
  <c r="O168" i="73"/>
  <c r="O228" i="73" s="1"/>
  <c r="J168" i="73"/>
  <c r="J228" i="73" s="1"/>
  <c r="N168" i="73"/>
  <c r="N228" i="73" s="1"/>
  <c r="Q138" i="73"/>
  <c r="O138" i="73"/>
  <c r="Q168" i="73"/>
  <c r="Q228" i="73" s="1"/>
  <c r="P138" i="73"/>
  <c r="L138" i="73"/>
  <c r="J138" i="73"/>
  <c r="M138" i="73"/>
  <c r="X165" i="72"/>
  <c r="X200" i="72" s="1"/>
  <c r="X230" i="72" s="1"/>
  <c r="U165" i="72"/>
  <c r="U200" i="72" s="1"/>
  <c r="U230" i="72" s="1"/>
  <c r="R165" i="72"/>
  <c r="R200" i="72" s="1"/>
  <c r="R230" i="72" s="1"/>
  <c r="W165" i="72"/>
  <c r="W200" i="72" s="1"/>
  <c r="W230" i="72" s="1"/>
  <c r="Y165" i="72"/>
  <c r="Y200" i="72" s="1"/>
  <c r="Y230" i="72" s="1"/>
  <c r="T165" i="72"/>
  <c r="T200" i="72" s="1"/>
  <c r="T230" i="72" s="1"/>
  <c r="S165" i="72"/>
  <c r="S200" i="72" s="1"/>
  <c r="S230" i="72" s="1"/>
  <c r="V165" i="72"/>
  <c r="V200" i="72" s="1"/>
  <c r="V230" i="72" s="1"/>
  <c r="P136" i="73"/>
  <c r="O166" i="73"/>
  <c r="O226" i="73" s="1"/>
  <c r="J136" i="73"/>
  <c r="Q136" i="73"/>
  <c r="J166" i="73"/>
  <c r="J226" i="73" s="1"/>
  <c r="K136" i="73"/>
  <c r="K166" i="73"/>
  <c r="K226" i="73" s="1"/>
  <c r="L136" i="73"/>
  <c r="M166" i="73"/>
  <c r="M226" i="73" s="1"/>
  <c r="Q166" i="73"/>
  <c r="Q226" i="73" s="1"/>
  <c r="N136" i="73"/>
  <c r="M136" i="73"/>
  <c r="P166" i="73"/>
  <c r="P226" i="73" s="1"/>
  <c r="N166" i="73"/>
  <c r="N226" i="73" s="1"/>
  <c r="O136" i="73"/>
  <c r="L166" i="73"/>
  <c r="L226" i="73" s="1"/>
  <c r="X155" i="83"/>
  <c r="X25" i="71" s="1"/>
  <c r="X130" i="71" s="1"/>
  <c r="X126" i="83"/>
  <c r="U213" i="83"/>
  <c r="U85" i="71" s="1"/>
  <c r="U190" i="71" s="1"/>
  <c r="V184" i="83"/>
  <c r="V55" i="71" s="1"/>
  <c r="V160" i="71" s="1"/>
  <c r="W213" i="83"/>
  <c r="W85" i="71" s="1"/>
  <c r="W190" i="71" s="1"/>
  <c r="V213" i="83"/>
  <c r="V85" i="71" s="1"/>
  <c r="V190" i="71" s="1"/>
  <c r="X184" i="83"/>
  <c r="X55" i="71" s="1"/>
  <c r="X160" i="71" s="1"/>
  <c r="W126" i="83"/>
  <c r="U155" i="83"/>
  <c r="U25" i="71" s="1"/>
  <c r="U130" i="71" s="1"/>
  <c r="V126" i="83"/>
  <c r="W155" i="83"/>
  <c r="W25" i="71" s="1"/>
  <c r="W130" i="71" s="1"/>
  <c r="Y126" i="83"/>
  <c r="U184" i="83"/>
  <c r="U55" i="71" s="1"/>
  <c r="U160" i="71" s="1"/>
  <c r="Y213" i="83"/>
  <c r="Y85" i="71" s="1"/>
  <c r="Y190" i="71" s="1"/>
  <c r="T126" i="83"/>
  <c r="V155" i="83"/>
  <c r="V25" i="71" s="1"/>
  <c r="V130" i="71" s="1"/>
  <c r="W184" i="83"/>
  <c r="W55" i="71" s="1"/>
  <c r="W160" i="71" s="1"/>
  <c r="Q126" i="83"/>
  <c r="Q126" i="72" s="1"/>
  <c r="Q196" i="72" s="1"/>
  <c r="Q226" i="72" s="1"/>
  <c r="X213" i="83"/>
  <c r="X85" i="71" s="1"/>
  <c r="X190" i="71" s="1"/>
  <c r="Y184" i="83"/>
  <c r="Y55" i="71" s="1"/>
  <c r="Y160" i="71" s="1"/>
  <c r="S126" i="83"/>
  <c r="T213" i="83"/>
  <c r="T85" i="71" s="1"/>
  <c r="T190" i="71" s="1"/>
  <c r="U126" i="83"/>
  <c r="T155" i="83"/>
  <c r="T25" i="71" s="1"/>
  <c r="T130" i="71" s="1"/>
  <c r="R126" i="83"/>
  <c r="Y155" i="83"/>
  <c r="Y25" i="71" s="1"/>
  <c r="Y130" i="71" s="1"/>
  <c r="T184" i="83"/>
  <c r="T55" i="71" s="1"/>
  <c r="T160" i="71" s="1"/>
  <c r="S184" i="83"/>
  <c r="S55" i="71" s="1"/>
  <c r="S160" i="71" s="1"/>
  <c r="S155" i="83"/>
  <c r="S25" i="71" s="1"/>
  <c r="S130" i="71" s="1"/>
  <c r="R155" i="83"/>
  <c r="R25" i="71" s="1"/>
  <c r="R130" i="71" s="1"/>
  <c r="R213" i="83"/>
  <c r="R85" i="71" s="1"/>
  <c r="R190" i="71" s="1"/>
  <c r="S213" i="83"/>
  <c r="S85" i="71" s="1"/>
  <c r="S190" i="71" s="1"/>
  <c r="R184" i="83"/>
  <c r="R55" i="71" s="1"/>
  <c r="R160" i="71" s="1"/>
  <c r="U164" i="72"/>
  <c r="U199" i="72" s="1"/>
  <c r="U229" i="72" s="1"/>
  <c r="S164" i="72"/>
  <c r="S199" i="72" s="1"/>
  <c r="S229" i="72" s="1"/>
  <c r="T164" i="72"/>
  <c r="T199" i="72" s="1"/>
  <c r="T229" i="72" s="1"/>
  <c r="Y164" i="72"/>
  <c r="Y199" i="72" s="1"/>
  <c r="Y229" i="72" s="1"/>
  <c r="X164" i="72"/>
  <c r="X199" i="72" s="1"/>
  <c r="X229" i="72" s="1"/>
  <c r="R164" i="72"/>
  <c r="R199" i="72" s="1"/>
  <c r="R229" i="72" s="1"/>
  <c r="V164" i="72"/>
  <c r="V199" i="72" s="1"/>
  <c r="V229" i="72" s="1"/>
  <c r="W164" i="72"/>
  <c r="W199" i="72" s="1"/>
  <c r="W229" i="72" s="1"/>
  <c r="N165" i="73"/>
  <c r="N225" i="73" s="1"/>
  <c r="P135" i="73"/>
  <c r="Q135" i="73"/>
  <c r="M165" i="73"/>
  <c r="M225" i="73" s="1"/>
  <c r="O165" i="73"/>
  <c r="O225" i="73" s="1"/>
  <c r="L165" i="73"/>
  <c r="L225" i="73" s="1"/>
  <c r="P165" i="73"/>
  <c r="P225" i="73" s="1"/>
  <c r="N135" i="73"/>
  <c r="L135" i="73"/>
  <c r="O135" i="73"/>
  <c r="K165" i="73"/>
  <c r="K225" i="73" s="1"/>
  <c r="K135" i="73"/>
  <c r="M135" i="73"/>
  <c r="J135" i="73"/>
  <c r="J165" i="73"/>
  <c r="J225" i="73" s="1"/>
  <c r="Q165" i="73"/>
  <c r="Q225" i="73" s="1"/>
  <c r="U162" i="72"/>
  <c r="U197" i="72" s="1"/>
  <c r="U227" i="72" s="1"/>
  <c r="V162" i="72"/>
  <c r="V197" i="72" s="1"/>
  <c r="V227" i="72" s="1"/>
  <c r="T162" i="72"/>
  <c r="T197" i="72" s="1"/>
  <c r="T227" i="72" s="1"/>
  <c r="W162" i="72"/>
  <c r="W197" i="72" s="1"/>
  <c r="W227" i="72" s="1"/>
  <c r="R162" i="72"/>
  <c r="R197" i="72" s="1"/>
  <c r="R227" i="72" s="1"/>
  <c r="S162" i="72"/>
  <c r="S197" i="72" s="1"/>
  <c r="S227" i="72" s="1"/>
  <c r="Y162" i="72"/>
  <c r="Y197" i="72" s="1"/>
  <c r="Y227" i="72" s="1"/>
  <c r="X162" i="72"/>
  <c r="X197" i="72" s="1"/>
  <c r="X227" i="72" s="1"/>
  <c r="Q170" i="73"/>
  <c r="Q230" i="73" s="1"/>
  <c r="K170" i="73"/>
  <c r="K230" i="73" s="1"/>
  <c r="J140" i="73"/>
  <c r="L140" i="73"/>
  <c r="K140" i="73"/>
  <c r="M170" i="73"/>
  <c r="M230" i="73" s="1"/>
  <c r="P170" i="73"/>
  <c r="P230" i="73" s="1"/>
  <c r="O170" i="73"/>
  <c r="O230" i="73" s="1"/>
  <c r="N170" i="73"/>
  <c r="N230" i="73" s="1"/>
  <c r="M140" i="73"/>
  <c r="L170" i="73"/>
  <c r="L230" i="73" s="1"/>
  <c r="Q140" i="73"/>
  <c r="N140" i="73"/>
  <c r="O140" i="73"/>
  <c r="P140" i="73"/>
  <c r="J170" i="73"/>
  <c r="J230" i="73" s="1"/>
  <c r="V160" i="72"/>
  <c r="V195" i="72" s="1"/>
  <c r="V225" i="72" s="1"/>
  <c r="S160" i="72"/>
  <c r="S195" i="72" s="1"/>
  <c r="S225" i="72" s="1"/>
  <c r="X160" i="72"/>
  <c r="X195" i="72" s="1"/>
  <c r="X225" i="72" s="1"/>
  <c r="Y160" i="72"/>
  <c r="Y195" i="72" s="1"/>
  <c r="Y225" i="72" s="1"/>
  <c r="T160" i="72"/>
  <c r="T195" i="72" s="1"/>
  <c r="T225" i="72" s="1"/>
  <c r="R160" i="72"/>
  <c r="R195" i="72" s="1"/>
  <c r="R225" i="72" s="1"/>
  <c r="W160" i="72"/>
  <c r="W195" i="72" s="1"/>
  <c r="W225" i="72" s="1"/>
  <c r="U160" i="72"/>
  <c r="U195" i="72" s="1"/>
  <c r="U225" i="72" s="1"/>
  <c r="W218" i="83"/>
  <c r="W90" i="71" s="1"/>
  <c r="W195" i="71" s="1"/>
  <c r="V189" i="83"/>
  <c r="V60" i="71" s="1"/>
  <c r="V165" i="71" s="1"/>
  <c r="T131" i="83"/>
  <c r="W131" i="83"/>
  <c r="V160" i="83"/>
  <c r="V30" i="71" s="1"/>
  <c r="V135" i="71" s="1"/>
  <c r="U131" i="83"/>
  <c r="R131" i="83"/>
  <c r="V131" i="83"/>
  <c r="Y131" i="83"/>
  <c r="V218" i="83"/>
  <c r="V90" i="71" s="1"/>
  <c r="V195" i="71" s="1"/>
  <c r="U160" i="83"/>
  <c r="U30" i="71" s="1"/>
  <c r="U135" i="71" s="1"/>
  <c r="Y189" i="83"/>
  <c r="Y60" i="71" s="1"/>
  <c r="Y165" i="71" s="1"/>
  <c r="X218" i="83"/>
  <c r="X90" i="71" s="1"/>
  <c r="X195" i="71" s="1"/>
  <c r="U189" i="83"/>
  <c r="U60" i="71" s="1"/>
  <c r="U165" i="71" s="1"/>
  <c r="T189" i="83"/>
  <c r="T60" i="71" s="1"/>
  <c r="T165" i="71" s="1"/>
  <c r="U218" i="83"/>
  <c r="U90" i="71" s="1"/>
  <c r="U195" i="71" s="1"/>
  <c r="Q131" i="83"/>
  <c r="Q131" i="72" s="1"/>
  <c r="Q201" i="72" s="1"/>
  <c r="Q231" i="72" s="1"/>
  <c r="S131" i="83"/>
  <c r="Y218" i="83"/>
  <c r="Y90" i="71" s="1"/>
  <c r="Y195" i="71" s="1"/>
  <c r="X131" i="83"/>
  <c r="W160" i="83"/>
  <c r="W30" i="71" s="1"/>
  <c r="W135" i="71" s="1"/>
  <c r="X189" i="83"/>
  <c r="X60" i="71" s="1"/>
  <c r="X165" i="71" s="1"/>
  <c r="Y160" i="83"/>
  <c r="Y30" i="71" s="1"/>
  <c r="Y135" i="71" s="1"/>
  <c r="W189" i="83"/>
  <c r="W60" i="71" s="1"/>
  <c r="W165" i="71" s="1"/>
  <c r="T160" i="83"/>
  <c r="T30" i="71" s="1"/>
  <c r="T135" i="71" s="1"/>
  <c r="T218" i="83"/>
  <c r="T90" i="71" s="1"/>
  <c r="T195" i="71" s="1"/>
  <c r="X160" i="83"/>
  <c r="X30" i="71" s="1"/>
  <c r="X135" i="71" s="1"/>
  <c r="S218" i="83"/>
  <c r="S90" i="71" s="1"/>
  <c r="S195" i="71" s="1"/>
  <c r="S160" i="83"/>
  <c r="S30" i="71" s="1"/>
  <c r="S135" i="71" s="1"/>
  <c r="S189" i="83"/>
  <c r="S60" i="71" s="1"/>
  <c r="S165" i="71" s="1"/>
  <c r="R160" i="83"/>
  <c r="R30" i="71" s="1"/>
  <c r="R135" i="71" s="1"/>
  <c r="R189" i="83"/>
  <c r="R60" i="71" s="1"/>
  <c r="R165" i="71" s="1"/>
  <c r="R218" i="83"/>
  <c r="R90" i="71" s="1"/>
  <c r="R195" i="71" s="1"/>
  <c r="Q169" i="73"/>
  <c r="Q229" i="73" s="1"/>
  <c r="O169" i="73"/>
  <c r="O229" i="73" s="1"/>
  <c r="M139" i="73"/>
  <c r="L169" i="73"/>
  <c r="L229" i="73" s="1"/>
  <c r="N169" i="73"/>
  <c r="N229" i="73" s="1"/>
  <c r="P169" i="73"/>
  <c r="P229" i="73" s="1"/>
  <c r="L139" i="73"/>
  <c r="K169" i="73"/>
  <c r="K229" i="73" s="1"/>
  <c r="K139" i="73"/>
  <c r="Q139" i="73"/>
  <c r="N139" i="73"/>
  <c r="O139" i="73"/>
  <c r="J139" i="73"/>
  <c r="P139" i="73"/>
  <c r="J169" i="73"/>
  <c r="J229" i="73" s="1"/>
  <c r="M169" i="73"/>
  <c r="M229" i="73" s="1"/>
  <c r="R132" i="83"/>
  <c r="U161" i="83"/>
  <c r="U31" i="71" s="1"/>
  <c r="U136" i="71" s="1"/>
  <c r="U190" i="83"/>
  <c r="U61" i="71" s="1"/>
  <c r="U166" i="71" s="1"/>
  <c r="T161" i="83"/>
  <c r="T31" i="71" s="1"/>
  <c r="T136" i="71" s="1"/>
  <c r="V132" i="83"/>
  <c r="W219" i="83"/>
  <c r="W91" i="71" s="1"/>
  <c r="W196" i="71" s="1"/>
  <c r="U219" i="83"/>
  <c r="U91" i="71" s="1"/>
  <c r="U196" i="71" s="1"/>
  <c r="V219" i="83"/>
  <c r="V91" i="71" s="1"/>
  <c r="V196" i="71" s="1"/>
  <c r="W132" i="83"/>
  <c r="V161" i="83"/>
  <c r="V31" i="71" s="1"/>
  <c r="V136" i="71" s="1"/>
  <c r="W190" i="83"/>
  <c r="W61" i="71" s="1"/>
  <c r="W166" i="71" s="1"/>
  <c r="S132" i="83"/>
  <c r="X190" i="83"/>
  <c r="X61" i="71" s="1"/>
  <c r="X166" i="71" s="1"/>
  <c r="Y190" i="83"/>
  <c r="Y61" i="71" s="1"/>
  <c r="Y166" i="71" s="1"/>
  <c r="T219" i="83"/>
  <c r="T91" i="71" s="1"/>
  <c r="T196" i="71" s="1"/>
  <c r="T132" i="83"/>
  <c r="W161" i="83"/>
  <c r="W31" i="71" s="1"/>
  <c r="W136" i="71" s="1"/>
  <c r="U132" i="83"/>
  <c r="X132" i="83"/>
  <c r="T190" i="83"/>
  <c r="T61" i="71" s="1"/>
  <c r="T166" i="71" s="1"/>
  <c r="Y132" i="83"/>
  <c r="Y161" i="83"/>
  <c r="Y31" i="71" s="1"/>
  <c r="Y136" i="71" s="1"/>
  <c r="V190" i="83"/>
  <c r="V61" i="71" s="1"/>
  <c r="V166" i="71" s="1"/>
  <c r="X161" i="83"/>
  <c r="X31" i="71" s="1"/>
  <c r="X136" i="71" s="1"/>
  <c r="X219" i="83"/>
  <c r="X91" i="71" s="1"/>
  <c r="X196" i="71" s="1"/>
  <c r="Y219" i="83"/>
  <c r="Y91" i="71" s="1"/>
  <c r="Y196" i="71" s="1"/>
  <c r="Q132" i="83"/>
  <c r="Q132" i="72" s="1"/>
  <c r="Q202" i="72" s="1"/>
  <c r="Q232" i="72" s="1"/>
  <c r="S219" i="83"/>
  <c r="S91" i="71" s="1"/>
  <c r="S196" i="71" s="1"/>
  <c r="S161" i="83"/>
  <c r="S31" i="71" s="1"/>
  <c r="S136" i="71" s="1"/>
  <c r="S190" i="83"/>
  <c r="S61" i="71" s="1"/>
  <c r="S166" i="71" s="1"/>
  <c r="R190" i="83"/>
  <c r="R61" i="71" s="1"/>
  <c r="R166" i="71" s="1"/>
  <c r="R161" i="83"/>
  <c r="R31" i="71" s="1"/>
  <c r="R136" i="71" s="1"/>
  <c r="R219" i="83"/>
  <c r="R91" i="71" s="1"/>
  <c r="R196" i="71" s="1"/>
  <c r="T161" i="72"/>
  <c r="T196" i="72" s="1"/>
  <c r="T226" i="72" s="1"/>
  <c r="S161" i="72"/>
  <c r="S196" i="72" s="1"/>
  <c r="S226" i="72" s="1"/>
  <c r="V161" i="72"/>
  <c r="V196" i="72" s="1"/>
  <c r="V226" i="72" s="1"/>
  <c r="X161" i="72"/>
  <c r="X196" i="72" s="1"/>
  <c r="X226" i="72" s="1"/>
  <c r="W161" i="72"/>
  <c r="W196" i="72" s="1"/>
  <c r="W226" i="72" s="1"/>
  <c r="U161" i="72"/>
  <c r="U196" i="72" s="1"/>
  <c r="U226" i="72" s="1"/>
  <c r="R161" i="72"/>
  <c r="R196" i="72" s="1"/>
  <c r="R226" i="72" s="1"/>
  <c r="Y161" i="72"/>
  <c r="Y196" i="72" s="1"/>
  <c r="Y226" i="72" s="1"/>
  <c r="O164" i="73"/>
  <c r="O224" i="73" s="1"/>
  <c r="P164" i="73"/>
  <c r="P224" i="73" s="1"/>
  <c r="Q134" i="73"/>
  <c r="J164" i="73"/>
  <c r="J224" i="73" s="1"/>
  <c r="K164" i="73"/>
  <c r="K224" i="73" s="1"/>
  <c r="L164" i="73"/>
  <c r="L224" i="73" s="1"/>
  <c r="N134" i="73"/>
  <c r="P134" i="73"/>
  <c r="M164" i="73"/>
  <c r="M224" i="73" s="1"/>
  <c r="J134" i="73"/>
  <c r="Q164" i="73"/>
  <c r="Q224" i="73" s="1"/>
  <c r="K134" i="73"/>
  <c r="M134" i="73"/>
  <c r="O134" i="73"/>
  <c r="N164" i="73"/>
  <c r="N224" i="73" s="1"/>
  <c r="L134" i="73"/>
  <c r="W125" i="83"/>
  <c r="Q125" i="83"/>
  <c r="Q125" i="72" s="1"/>
  <c r="Q195" i="72" s="1"/>
  <c r="Q225" i="72" s="1"/>
  <c r="V183" i="83"/>
  <c r="V54" i="71" s="1"/>
  <c r="V159" i="71" s="1"/>
  <c r="W154" i="83"/>
  <c r="Y212" i="83"/>
  <c r="Y84" i="71" s="1"/>
  <c r="Y189" i="71" s="1"/>
  <c r="Y183" i="83"/>
  <c r="Y54" i="71" s="1"/>
  <c r="Y159" i="71" s="1"/>
  <c r="Y154" i="83"/>
  <c r="X125" i="83"/>
  <c r="S125" i="83"/>
  <c r="U125" i="83"/>
  <c r="U212" i="83"/>
  <c r="U84" i="71" s="1"/>
  <c r="U189" i="71" s="1"/>
  <c r="X154" i="83"/>
  <c r="X212" i="83"/>
  <c r="X84" i="71" s="1"/>
  <c r="X189" i="71" s="1"/>
  <c r="Y125" i="83"/>
  <c r="W212" i="83"/>
  <c r="W84" i="71" s="1"/>
  <c r="W189" i="71" s="1"/>
  <c r="V212" i="83"/>
  <c r="V84" i="71" s="1"/>
  <c r="V189" i="71" s="1"/>
  <c r="W183" i="83"/>
  <c r="W54" i="71" s="1"/>
  <c r="W159" i="71" s="1"/>
  <c r="T154" i="83"/>
  <c r="T212" i="83"/>
  <c r="T84" i="71" s="1"/>
  <c r="T189" i="71" s="1"/>
  <c r="U154" i="83"/>
  <c r="V154" i="83"/>
  <c r="T183" i="83"/>
  <c r="T54" i="71" s="1"/>
  <c r="T159" i="71" s="1"/>
  <c r="T125" i="83"/>
  <c r="X183" i="83"/>
  <c r="X54" i="71" s="1"/>
  <c r="X159" i="71" s="1"/>
  <c r="R125" i="83"/>
  <c r="U183" i="83"/>
  <c r="U54" i="71" s="1"/>
  <c r="U159" i="71" s="1"/>
  <c r="V125" i="83"/>
  <c r="R183" i="83"/>
  <c r="R54" i="71" s="1"/>
  <c r="R159" i="71" s="1"/>
  <c r="R212" i="83"/>
  <c r="R84" i="71" s="1"/>
  <c r="R189" i="71" s="1"/>
  <c r="S212" i="83"/>
  <c r="S84" i="71" s="1"/>
  <c r="S189" i="71" s="1"/>
  <c r="R154" i="83"/>
  <c r="S154" i="83"/>
  <c r="S183" i="83"/>
  <c r="S54" i="71" s="1"/>
  <c r="S159" i="71" s="1"/>
  <c r="S167" i="72"/>
  <c r="S202" i="72" s="1"/>
  <c r="S232" i="72" s="1"/>
  <c r="T167" i="72"/>
  <c r="T202" i="72" s="1"/>
  <c r="T232" i="72" s="1"/>
  <c r="U167" i="72"/>
  <c r="U202" i="72" s="1"/>
  <c r="U232" i="72" s="1"/>
  <c r="V167" i="72"/>
  <c r="V202" i="72" s="1"/>
  <c r="V232" i="72" s="1"/>
  <c r="W167" i="72"/>
  <c r="W202" i="72" s="1"/>
  <c r="W232" i="72" s="1"/>
  <c r="X167" i="72"/>
  <c r="X202" i="72" s="1"/>
  <c r="X232" i="72" s="1"/>
  <c r="R167" i="72"/>
  <c r="R202" i="72" s="1"/>
  <c r="R232" i="72" s="1"/>
  <c r="Y167" i="72"/>
  <c r="Y202" i="72" s="1"/>
  <c r="Y232" i="72" s="1"/>
  <c r="U128" i="83"/>
  <c r="V128" i="83"/>
  <c r="U157" i="83"/>
  <c r="U27" i="71" s="1"/>
  <c r="U132" i="71" s="1"/>
  <c r="X186" i="83"/>
  <c r="X57" i="71" s="1"/>
  <c r="X162" i="71" s="1"/>
  <c r="T128" i="83"/>
  <c r="V186" i="83"/>
  <c r="V57" i="71" s="1"/>
  <c r="V162" i="71" s="1"/>
  <c r="T157" i="83"/>
  <c r="T27" i="71" s="1"/>
  <c r="T132" i="71" s="1"/>
  <c r="W215" i="83"/>
  <c r="W87" i="71" s="1"/>
  <c r="W192" i="71" s="1"/>
  <c r="U186" i="83"/>
  <c r="U57" i="71" s="1"/>
  <c r="U162" i="71" s="1"/>
  <c r="V157" i="83"/>
  <c r="V27" i="71" s="1"/>
  <c r="V132" i="71" s="1"/>
  <c r="Y215" i="83"/>
  <c r="Y87" i="71" s="1"/>
  <c r="Y192" i="71" s="1"/>
  <c r="X157" i="83"/>
  <c r="X27" i="71" s="1"/>
  <c r="X132" i="71" s="1"/>
  <c r="R128" i="83"/>
  <c r="U215" i="83"/>
  <c r="U87" i="71" s="1"/>
  <c r="U192" i="71" s="1"/>
  <c r="Y157" i="83"/>
  <c r="Y27" i="71" s="1"/>
  <c r="Y132" i="71" s="1"/>
  <c r="V215" i="83"/>
  <c r="V87" i="71" s="1"/>
  <c r="V192" i="71" s="1"/>
  <c r="W128" i="83"/>
  <c r="X128" i="83"/>
  <c r="Y128" i="83"/>
  <c r="Y186" i="83"/>
  <c r="Y57" i="71" s="1"/>
  <c r="Y162" i="71" s="1"/>
  <c r="T186" i="83"/>
  <c r="T57" i="71" s="1"/>
  <c r="T162" i="71" s="1"/>
  <c r="W157" i="83"/>
  <c r="W27" i="71" s="1"/>
  <c r="W132" i="71" s="1"/>
  <c r="W186" i="83"/>
  <c r="W57" i="71" s="1"/>
  <c r="W162" i="71" s="1"/>
  <c r="T215" i="83"/>
  <c r="T87" i="71" s="1"/>
  <c r="T192" i="71" s="1"/>
  <c r="X215" i="83"/>
  <c r="X87" i="71" s="1"/>
  <c r="X192" i="71" s="1"/>
  <c r="S128" i="83"/>
  <c r="Q128" i="83"/>
  <c r="Q128" i="72" s="1"/>
  <c r="Q198" i="72" s="1"/>
  <c r="Q228" i="72" s="1"/>
  <c r="S186" i="83"/>
  <c r="S57" i="71" s="1"/>
  <c r="S162" i="71" s="1"/>
  <c r="R215" i="83"/>
  <c r="R87" i="71" s="1"/>
  <c r="R192" i="71" s="1"/>
  <c r="S157" i="83"/>
  <c r="S27" i="71" s="1"/>
  <c r="S132" i="71" s="1"/>
  <c r="S215" i="83"/>
  <c r="S87" i="71" s="1"/>
  <c r="S192" i="71" s="1"/>
  <c r="R186" i="83"/>
  <c r="R57" i="71" s="1"/>
  <c r="R162" i="71" s="1"/>
  <c r="R157" i="83"/>
  <c r="R27" i="71" s="1"/>
  <c r="R132" i="71" s="1"/>
  <c r="U163" i="72"/>
  <c r="U198" i="72" s="1"/>
  <c r="U228" i="72" s="1"/>
  <c r="R163" i="72"/>
  <c r="R198" i="72" s="1"/>
  <c r="R228" i="72" s="1"/>
  <c r="V163" i="72"/>
  <c r="V198" i="72" s="1"/>
  <c r="V228" i="72" s="1"/>
  <c r="X163" i="72"/>
  <c r="X198" i="72" s="1"/>
  <c r="X228" i="72" s="1"/>
  <c r="Y163" i="72"/>
  <c r="Y198" i="72" s="1"/>
  <c r="Y228" i="72" s="1"/>
  <c r="T163" i="72"/>
  <c r="T198" i="72" s="1"/>
  <c r="T228" i="72" s="1"/>
  <c r="S163" i="72"/>
  <c r="S198" i="72" s="1"/>
  <c r="S228" i="72" s="1"/>
  <c r="W163" i="72"/>
  <c r="W198" i="72" s="1"/>
  <c r="W228" i="72" s="1"/>
  <c r="S24" i="71" l="1"/>
  <c r="S129" i="71" s="1"/>
  <c r="L264" i="73"/>
  <c r="L27" i="74" s="1"/>
  <c r="L194" i="73"/>
  <c r="L196" i="73"/>
  <c r="L266" i="73"/>
  <c r="L29" i="74" s="1"/>
  <c r="M198" i="73"/>
  <c r="M268" i="73"/>
  <c r="M31" i="74" s="1"/>
  <c r="V24" i="71"/>
  <c r="V129" i="71" s="1"/>
  <c r="O194" i="73"/>
  <c r="O264" i="73"/>
  <c r="O27" i="74" s="1"/>
  <c r="Q197" i="73"/>
  <c r="Q267" i="73"/>
  <c r="Q30" i="74" s="1"/>
  <c r="U24" i="71"/>
  <c r="U129" i="71" s="1"/>
  <c r="W24" i="71"/>
  <c r="W129" i="71" s="1"/>
  <c r="J199" i="73"/>
  <c r="J269" i="73"/>
  <c r="J32" i="74" s="1"/>
  <c r="O200" i="73"/>
  <c r="O270" i="73"/>
  <c r="O33" i="74" s="1"/>
  <c r="J195" i="73"/>
  <c r="J265" i="73"/>
  <c r="J28" i="74" s="1"/>
  <c r="K266" i="73"/>
  <c r="K29" i="74" s="1"/>
  <c r="K196" i="73"/>
  <c r="L268" i="73"/>
  <c r="L31" i="74" s="1"/>
  <c r="L198" i="73"/>
  <c r="O267" i="73"/>
  <c r="O30" i="74" s="1"/>
  <c r="O197" i="73"/>
  <c r="M197" i="73"/>
  <c r="M267" i="73"/>
  <c r="M30" i="74" s="1"/>
  <c r="K264" i="73"/>
  <c r="K27" i="74" s="1"/>
  <c r="K194" i="73"/>
  <c r="O199" i="73"/>
  <c r="O269" i="73"/>
  <c r="O32" i="74" s="1"/>
  <c r="N200" i="73"/>
  <c r="N270" i="73"/>
  <c r="N33" i="74" s="1"/>
  <c r="K200" i="73"/>
  <c r="K270" i="73"/>
  <c r="K33" i="74" s="1"/>
  <c r="M265" i="73"/>
  <c r="M28" i="74" s="1"/>
  <c r="M195" i="73"/>
  <c r="P268" i="73"/>
  <c r="P31" i="74" s="1"/>
  <c r="P198" i="73"/>
  <c r="R24" i="71"/>
  <c r="R129" i="71" s="1"/>
  <c r="Y24" i="71"/>
  <c r="Y129" i="71" s="1"/>
  <c r="P194" i="73"/>
  <c r="P264" i="73"/>
  <c r="P27" i="74" s="1"/>
  <c r="N194" i="73"/>
  <c r="N264" i="73"/>
  <c r="N27" i="74" s="1"/>
  <c r="L199" i="73"/>
  <c r="L269" i="73"/>
  <c r="L32" i="74" s="1"/>
  <c r="N265" i="73"/>
  <c r="N28" i="74" s="1"/>
  <c r="N195" i="73"/>
  <c r="P199" i="73"/>
  <c r="P269" i="73"/>
  <c r="P32" i="74" s="1"/>
  <c r="P270" i="73"/>
  <c r="P33" i="74" s="1"/>
  <c r="P200" i="73"/>
  <c r="O196" i="73"/>
  <c r="O266" i="73"/>
  <c r="O29" i="74" s="1"/>
  <c r="J268" i="73"/>
  <c r="J31" i="74" s="1"/>
  <c r="J198" i="73"/>
  <c r="L267" i="73"/>
  <c r="L30" i="74" s="1"/>
  <c r="L197" i="73"/>
  <c r="X24" i="71"/>
  <c r="X129" i="71" s="1"/>
  <c r="M264" i="73"/>
  <c r="M27" i="74" s="1"/>
  <c r="M194" i="73"/>
  <c r="T24" i="71"/>
  <c r="T129" i="71" s="1"/>
  <c r="Q264" i="73"/>
  <c r="Q27" i="74" s="1"/>
  <c r="Q194" i="73"/>
  <c r="N269" i="73"/>
  <c r="N32" i="74" s="1"/>
  <c r="N199" i="73"/>
  <c r="M269" i="73"/>
  <c r="M32" i="74" s="1"/>
  <c r="M199" i="73"/>
  <c r="Q270" i="73"/>
  <c r="Q33" i="74" s="1"/>
  <c r="Q200" i="73"/>
  <c r="L270" i="73"/>
  <c r="L33" i="74" s="1"/>
  <c r="L200" i="73"/>
  <c r="K195" i="73"/>
  <c r="K265" i="73"/>
  <c r="K28" i="74" s="1"/>
  <c r="M266" i="73"/>
  <c r="M29" i="74" s="1"/>
  <c r="M196" i="73"/>
  <c r="Q266" i="73"/>
  <c r="Q29" i="74" s="1"/>
  <c r="Q196" i="73"/>
  <c r="P197" i="73"/>
  <c r="P267" i="73"/>
  <c r="P30" i="74" s="1"/>
  <c r="J264" i="73"/>
  <c r="J27" i="74" s="1"/>
  <c r="J194" i="73"/>
  <c r="Q269" i="73"/>
  <c r="Q32" i="74" s="1"/>
  <c r="Q199" i="73"/>
  <c r="J200" i="73"/>
  <c r="J270" i="73"/>
  <c r="J33" i="74" s="1"/>
  <c r="Q195" i="73"/>
  <c r="Q265" i="73"/>
  <c r="Q28" i="74" s="1"/>
  <c r="N266" i="73"/>
  <c r="N29" i="74" s="1"/>
  <c r="N196" i="73"/>
  <c r="J266" i="73"/>
  <c r="J29" i="74" s="1"/>
  <c r="J196" i="73"/>
  <c r="O268" i="73"/>
  <c r="O31" i="74" s="1"/>
  <c r="O198" i="73"/>
  <c r="N198" i="73"/>
  <c r="N268" i="73"/>
  <c r="N31" i="74" s="1"/>
  <c r="K197" i="73"/>
  <c r="K267" i="73"/>
  <c r="K30" i="74" s="1"/>
  <c r="K199" i="73"/>
  <c r="K269" i="73"/>
  <c r="K32" i="74" s="1"/>
  <c r="M200" i="73"/>
  <c r="M270" i="73"/>
  <c r="M33" i="74" s="1"/>
  <c r="O195" i="73"/>
  <c r="O265" i="73"/>
  <c r="O28" i="74" s="1"/>
  <c r="P195" i="73"/>
  <c r="P265" i="73"/>
  <c r="P28" i="74" s="1"/>
  <c r="Q268" i="73"/>
  <c r="Q31" i="74" s="1"/>
  <c r="Q198" i="73"/>
  <c r="L195" i="73"/>
  <c r="L265" i="73"/>
  <c r="L28" i="74" s="1"/>
  <c r="P196" i="73"/>
  <c r="P266" i="73"/>
  <c r="P29" i="74" s="1"/>
  <c r="K268" i="73"/>
  <c r="K31" i="74" s="1"/>
  <c r="K198" i="73"/>
  <c r="J197" i="73"/>
  <c r="J267" i="73"/>
  <c r="J30" i="74" s="1"/>
  <c r="N267" i="73"/>
  <c r="N30" i="74" s="1"/>
  <c r="N197" i="73"/>
  <c r="H25" i="22" l="1"/>
  <c r="H22" i="22"/>
  <c r="J34" i="22" s="1"/>
  <c r="L34" i="22" l="1"/>
  <c r="L317" i="22" s="1"/>
  <c r="L59" i="65" s="1"/>
  <c r="R34" i="22"/>
  <c r="Y34" i="22"/>
  <c r="X34" i="22"/>
  <c r="U34" i="22"/>
  <c r="T34" i="22"/>
  <c r="S34" i="22"/>
  <c r="W34" i="22"/>
  <c r="V34" i="22"/>
  <c r="J245" i="22"/>
  <c r="J247" i="22" s="1"/>
  <c r="J293" i="22"/>
  <c r="J295" i="22" s="1"/>
  <c r="J318" i="22"/>
  <c r="J256" i="22"/>
  <c r="J258" i="22" s="1"/>
  <c r="J304" i="22"/>
  <c r="J306" i="22" s="1"/>
  <c r="J319" i="22"/>
  <c r="J320" i="22"/>
  <c r="J316" i="22"/>
  <c r="J282" i="22"/>
  <c r="J284" i="22" s="1"/>
  <c r="J315" i="22"/>
  <c r="J271" i="22"/>
  <c r="J273" i="22" s="1"/>
  <c r="J321" i="22"/>
  <c r="Q34" i="22"/>
  <c r="M34" i="22"/>
  <c r="L245" i="22"/>
  <c r="L247" i="22" s="1"/>
  <c r="L316" i="22"/>
  <c r="J234" i="22"/>
  <c r="J236" i="22" s="1"/>
  <c r="H109" i="89" a="1"/>
  <c r="H109" i="89" s="1"/>
  <c r="H115" i="89" s="1"/>
  <c r="O34" i="22"/>
  <c r="P34" i="22"/>
  <c r="N34" i="22"/>
  <c r="K34" i="22"/>
  <c r="J317" i="22"/>
  <c r="H24" i="22"/>
  <c r="H23" i="22"/>
  <c r="L293" i="22" l="1"/>
  <c r="L295" i="22" s="1"/>
  <c r="L282" i="22"/>
  <c r="L284" i="22" s="1"/>
  <c r="L424" i="22"/>
  <c r="L234" i="22"/>
  <c r="L236" i="22" s="1"/>
  <c r="L337" i="22"/>
  <c r="L395" i="22"/>
  <c r="L320" i="22"/>
  <c r="L340" i="22" s="1"/>
  <c r="L315" i="22"/>
  <c r="L57" i="65" s="1"/>
  <c r="L321" i="22"/>
  <c r="L341" i="22" s="1"/>
  <c r="L318" i="22"/>
  <c r="L304" i="22"/>
  <c r="L306" i="22" s="1"/>
  <c r="L453" i="22"/>
  <c r="L256" i="22"/>
  <c r="L258" i="22" s="1"/>
  <c r="L366" i="22"/>
  <c r="L319" i="22"/>
  <c r="L61" i="65" s="1"/>
  <c r="L271" i="22"/>
  <c r="L273" i="22" s="1"/>
  <c r="O304" i="22"/>
  <c r="O306" i="22" s="1"/>
  <c r="O318" i="22"/>
  <c r="O271" i="22"/>
  <c r="O273" i="22" s="1"/>
  <c r="O293" i="22"/>
  <c r="O295" i="22" s="1"/>
  <c r="O245" i="22"/>
  <c r="O247" i="22" s="1"/>
  <c r="O315" i="22"/>
  <c r="O256" i="22"/>
  <c r="O258" i="22" s="1"/>
  <c r="O320" i="22"/>
  <c r="O319" i="22"/>
  <c r="O321" i="22"/>
  <c r="O317" i="22"/>
  <c r="O282" i="22"/>
  <c r="O284" i="22" s="1"/>
  <c r="O316" i="22"/>
  <c r="O234" i="22"/>
  <c r="O236" i="22" s="1"/>
  <c r="Q304" i="22"/>
  <c r="Q306" i="22" s="1"/>
  <c r="Q245" i="22"/>
  <c r="Q247" i="22" s="1"/>
  <c r="Q271" i="22"/>
  <c r="Q273" i="22" s="1"/>
  <c r="Q315" i="22"/>
  <c r="Q318" i="22"/>
  <c r="Q293" i="22"/>
  <c r="Q295" i="22" s="1"/>
  <c r="Q256" i="22"/>
  <c r="Q258" i="22" s="1"/>
  <c r="Q316" i="22"/>
  <c r="Q321" i="22"/>
  <c r="Q319" i="22"/>
  <c r="Q320" i="22"/>
  <c r="Q282" i="22"/>
  <c r="Q284" i="22" s="1"/>
  <c r="Q234" i="22"/>
  <c r="Q236" i="22" s="1"/>
  <c r="Q317" i="22"/>
  <c r="N271" i="22"/>
  <c r="N273" i="22" s="1"/>
  <c r="N245" i="22"/>
  <c r="N247" i="22" s="1"/>
  <c r="N315" i="22"/>
  <c r="N293" i="22"/>
  <c r="N295" i="22" s="1"/>
  <c r="N318" i="22"/>
  <c r="N256" i="22"/>
  <c r="N258" i="22" s="1"/>
  <c r="N304" i="22"/>
  <c r="N306" i="22" s="1"/>
  <c r="N320" i="22"/>
  <c r="N319" i="22"/>
  <c r="N321" i="22"/>
  <c r="N282" i="22"/>
  <c r="N284" i="22" s="1"/>
  <c r="N317" i="22"/>
  <c r="N316" i="22"/>
  <c r="N234" i="22"/>
  <c r="N236" i="22" s="1"/>
  <c r="J58" i="65"/>
  <c r="J76" i="65" s="1"/>
  <c r="J365" i="22"/>
  <c r="P245" i="22"/>
  <c r="P247" i="22" s="1"/>
  <c r="P256" i="22"/>
  <c r="P258" i="22" s="1"/>
  <c r="P293" i="22"/>
  <c r="P295" i="22" s="1"/>
  <c r="P271" i="22"/>
  <c r="P273" i="22" s="1"/>
  <c r="P315" i="22"/>
  <c r="P304" i="22"/>
  <c r="P306" i="22" s="1"/>
  <c r="P318" i="22"/>
  <c r="P319" i="22"/>
  <c r="P320" i="22"/>
  <c r="P321" i="22"/>
  <c r="P316" i="22"/>
  <c r="P317" i="22"/>
  <c r="P234" i="22"/>
  <c r="P236" i="22" s="1"/>
  <c r="P282" i="22"/>
  <c r="P284" i="22" s="1"/>
  <c r="J62" i="65"/>
  <c r="J80" i="65" s="1"/>
  <c r="J369" i="22"/>
  <c r="L428" i="22"/>
  <c r="M293" i="22"/>
  <c r="M295" i="22" s="1"/>
  <c r="M304" i="22"/>
  <c r="M306" i="22" s="1"/>
  <c r="M256" i="22"/>
  <c r="M258" i="22" s="1"/>
  <c r="M245" i="22"/>
  <c r="M247" i="22" s="1"/>
  <c r="M318" i="22"/>
  <c r="M315" i="22"/>
  <c r="M271" i="22"/>
  <c r="M273" i="22" s="1"/>
  <c r="M320" i="22"/>
  <c r="M319" i="22"/>
  <c r="M316" i="22"/>
  <c r="M317" i="22"/>
  <c r="M321" i="22"/>
  <c r="M234" i="22"/>
  <c r="M236" i="22" s="1"/>
  <c r="M282" i="22"/>
  <c r="M284" i="22" s="1"/>
  <c r="R35" i="22"/>
  <c r="W35" i="22"/>
  <c r="P35" i="22"/>
  <c r="T35" i="22"/>
  <c r="V35" i="22"/>
  <c r="Y35" i="22"/>
  <c r="U35" i="22"/>
  <c r="S35" i="22"/>
  <c r="X35" i="22"/>
  <c r="N35" i="22"/>
  <c r="K35" i="22"/>
  <c r="O35" i="22"/>
  <c r="Q35" i="22"/>
  <c r="J35" i="22"/>
  <c r="M35" i="22"/>
  <c r="L35" i="22"/>
  <c r="L60" i="65"/>
  <c r="L367" i="22"/>
  <c r="L338" i="22"/>
  <c r="L454" i="22"/>
  <c r="L396" i="22"/>
  <c r="L425" i="22"/>
  <c r="J63" i="65"/>
  <c r="J81" i="65" s="1"/>
  <c r="J370" i="22"/>
  <c r="A4" i="89"/>
  <c r="J42" i="55"/>
  <c r="J60" i="65"/>
  <c r="J78" i="65" s="1"/>
  <c r="J367" i="22"/>
  <c r="J61" i="65"/>
  <c r="J79" i="65" s="1"/>
  <c r="J368" i="22"/>
  <c r="J59" i="65"/>
  <c r="J77" i="65" s="1"/>
  <c r="J366" i="22"/>
  <c r="J57" i="65"/>
  <c r="J75" i="65" s="1"/>
  <c r="J364" i="22"/>
  <c r="K245" i="22"/>
  <c r="K247" i="22" s="1"/>
  <c r="K256" i="22"/>
  <c r="K258" i="22" s="1"/>
  <c r="K304" i="22"/>
  <c r="K306" i="22" s="1"/>
  <c r="K318" i="22"/>
  <c r="K321" i="22"/>
  <c r="K293" i="22"/>
  <c r="K295" i="22" s="1"/>
  <c r="K315" i="22"/>
  <c r="K320" i="22"/>
  <c r="K319" i="22"/>
  <c r="K316" i="22"/>
  <c r="K317" i="22"/>
  <c r="K282" i="22"/>
  <c r="K284" i="22" s="1"/>
  <c r="K234" i="22"/>
  <c r="K236" i="22" s="1"/>
  <c r="K271" i="22"/>
  <c r="K273" i="22" s="1"/>
  <c r="L58" i="65"/>
  <c r="L452" i="22"/>
  <c r="L336" i="22"/>
  <c r="L365" i="22"/>
  <c r="L423" i="22"/>
  <c r="L394" i="22"/>
  <c r="L77" i="65"/>
  <c r="O77" i="65"/>
  <c r="N77" i="65"/>
  <c r="P77" i="65"/>
  <c r="M77" i="65"/>
  <c r="L399" i="22" l="1"/>
  <c r="L457" i="22"/>
  <c r="L370" i="22"/>
  <c r="L63" i="65"/>
  <c r="O81" i="65" s="1"/>
  <c r="L398" i="22"/>
  <c r="L427" i="22"/>
  <c r="L62" i="65"/>
  <c r="P80" i="65" s="1"/>
  <c r="L455" i="22"/>
  <c r="L339" i="22"/>
  <c r="L368" i="22"/>
  <c r="L426" i="22"/>
  <c r="L369" i="22"/>
  <c r="L456" i="22"/>
  <c r="L422" i="22"/>
  <c r="L364" i="22"/>
  <c r="L451" i="22"/>
  <c r="L397" i="22"/>
  <c r="L393" i="22"/>
  <c r="L335" i="22"/>
  <c r="N57" i="65"/>
  <c r="N451" i="22"/>
  <c r="N422" i="22"/>
  <c r="N335" i="22"/>
  <c r="N393" i="22"/>
  <c r="N364" i="22"/>
  <c r="K58" i="65"/>
  <c r="K76" i="65" s="1"/>
  <c r="K336" i="22"/>
  <c r="Q325" i="22"/>
  <c r="Q329" i="22"/>
  <c r="Q324" i="22"/>
  <c r="Q330" i="22"/>
  <c r="Q326" i="22"/>
  <c r="Q294" i="22"/>
  <c r="Q296" i="22" s="1"/>
  <c r="Q297" i="22" s="1"/>
  <c r="Q189" i="80" s="1"/>
  <c r="Q257" i="22"/>
  <c r="Q259" i="22" s="1"/>
  <c r="Q260" i="22" s="1"/>
  <c r="Q246" i="22"/>
  <c r="Q248" i="22" s="1"/>
  <c r="Q249" i="22" s="1"/>
  <c r="Q327" i="22"/>
  <c r="Q272" i="22"/>
  <c r="Q274" i="22" s="1"/>
  <c r="Q275" i="22" s="1"/>
  <c r="Q235" i="22"/>
  <c r="Q237" i="22" s="1"/>
  <c r="Q238" i="22" s="1"/>
  <c r="Q283" i="22"/>
  <c r="Q285" i="22" s="1"/>
  <c r="Q286" i="22" s="1"/>
  <c r="Q188" i="80" s="1"/>
  <c r="Q305" i="22"/>
  <c r="Q307" i="22" s="1"/>
  <c r="Q308" i="22" s="1"/>
  <c r="Q328" i="22"/>
  <c r="M59" i="65"/>
  <c r="Q77" i="65" s="1"/>
  <c r="M337" i="22"/>
  <c r="P81" i="65"/>
  <c r="N81" i="65"/>
  <c r="P62" i="65"/>
  <c r="P369" i="22"/>
  <c r="P427" i="22"/>
  <c r="P456" i="22"/>
  <c r="P398" i="22"/>
  <c r="P340" i="22"/>
  <c r="N63" i="65"/>
  <c r="N341" i="22"/>
  <c r="N370" i="22"/>
  <c r="N428" i="22"/>
  <c r="N399" i="22"/>
  <c r="N457" i="22"/>
  <c r="Q365" i="22"/>
  <c r="Q58" i="65"/>
  <c r="AG76" i="65" s="1"/>
  <c r="O57" i="65"/>
  <c r="O364" i="22"/>
  <c r="O335" i="22"/>
  <c r="O393" i="22"/>
  <c r="O422" i="22"/>
  <c r="O451" i="22"/>
  <c r="K59" i="65"/>
  <c r="K77" i="65" s="1"/>
  <c r="K337" i="22"/>
  <c r="P63" i="65"/>
  <c r="P428" i="22"/>
  <c r="P341" i="22"/>
  <c r="P370" i="22"/>
  <c r="P457" i="22"/>
  <c r="P399" i="22"/>
  <c r="Q63" i="65"/>
  <c r="AG81" i="65" s="1"/>
  <c r="Q370" i="22"/>
  <c r="M58" i="65"/>
  <c r="Q76" i="65" s="1"/>
  <c r="M336" i="22"/>
  <c r="O58" i="65"/>
  <c r="O423" i="22"/>
  <c r="O336" i="22"/>
  <c r="O452" i="22"/>
  <c r="O365" i="22"/>
  <c r="O394" i="22"/>
  <c r="K62" i="65"/>
  <c r="K80" i="65" s="1"/>
  <c r="K340" i="22"/>
  <c r="P75" i="65"/>
  <c r="L75" i="65"/>
  <c r="M75" i="65"/>
  <c r="N75" i="65"/>
  <c r="O75" i="65"/>
  <c r="K235" i="22"/>
  <c r="K237" i="22" s="1"/>
  <c r="K238" i="22" s="1"/>
  <c r="K324" i="22"/>
  <c r="K294" i="22"/>
  <c r="K296" i="22" s="1"/>
  <c r="K297" i="22" s="1"/>
  <c r="K189" i="80" s="1"/>
  <c r="K246" i="22"/>
  <c r="K248" i="22" s="1"/>
  <c r="K249" i="22" s="1"/>
  <c r="K328" i="22"/>
  <c r="K283" i="22"/>
  <c r="K285" i="22" s="1"/>
  <c r="K286" i="22" s="1"/>
  <c r="K188" i="80" s="1"/>
  <c r="K326" i="22"/>
  <c r="K330" i="22"/>
  <c r="K329" i="22"/>
  <c r="K325" i="22"/>
  <c r="K257" i="22"/>
  <c r="K259" i="22" s="1"/>
  <c r="K260" i="22" s="1"/>
  <c r="K272" i="22"/>
  <c r="K274" i="22" s="1"/>
  <c r="K275" i="22" s="1"/>
  <c r="K305" i="22"/>
  <c r="K307" i="22" s="1"/>
  <c r="K308" i="22" s="1"/>
  <c r="K327" i="22"/>
  <c r="P235" i="22"/>
  <c r="P237" i="22" s="1"/>
  <c r="P238" i="22" s="1"/>
  <c r="P330" i="22"/>
  <c r="P324" i="22"/>
  <c r="P327" i="22"/>
  <c r="P325" i="22"/>
  <c r="P305" i="22"/>
  <c r="P307" i="22" s="1"/>
  <c r="P308" i="22" s="1"/>
  <c r="P329" i="22"/>
  <c r="P257" i="22"/>
  <c r="P259" i="22" s="1"/>
  <c r="P260" i="22" s="1"/>
  <c r="P283" i="22"/>
  <c r="P285" i="22" s="1"/>
  <c r="P286" i="22" s="1"/>
  <c r="P188" i="80" s="1"/>
  <c r="P326" i="22"/>
  <c r="P294" i="22"/>
  <c r="P296" i="22" s="1"/>
  <c r="P297" i="22" s="1"/>
  <c r="P189" i="80" s="1"/>
  <c r="P328" i="22"/>
  <c r="P272" i="22"/>
  <c r="P274" i="22" s="1"/>
  <c r="P275" i="22" s="1"/>
  <c r="P246" i="22"/>
  <c r="P248" i="22" s="1"/>
  <c r="P249" i="22" s="1"/>
  <c r="M61" i="65"/>
  <c r="Q79" i="65" s="1"/>
  <c r="M339" i="22"/>
  <c r="L80" i="65"/>
  <c r="P338" i="22"/>
  <c r="P60" i="65"/>
  <c r="P425" i="22"/>
  <c r="P396" i="22"/>
  <c r="P454" i="22"/>
  <c r="P367" i="22"/>
  <c r="N62" i="65"/>
  <c r="N427" i="22"/>
  <c r="N456" i="22"/>
  <c r="N369" i="22"/>
  <c r="N398" i="22"/>
  <c r="N340" i="22"/>
  <c r="Q59" i="65"/>
  <c r="AG77" i="65" s="1"/>
  <c r="Q366" i="22"/>
  <c r="N328" i="22"/>
  <c r="N329" i="22"/>
  <c r="N326" i="22"/>
  <c r="N324" i="22"/>
  <c r="N257" i="22"/>
  <c r="N259" i="22" s="1"/>
  <c r="N260" i="22" s="1"/>
  <c r="N294" i="22"/>
  <c r="N296" i="22" s="1"/>
  <c r="N297" i="22" s="1"/>
  <c r="N189" i="80" s="1"/>
  <c r="N272" i="22"/>
  <c r="N274" i="22" s="1"/>
  <c r="N275" i="22" s="1"/>
  <c r="N325" i="22"/>
  <c r="N305" i="22"/>
  <c r="N307" i="22" s="1"/>
  <c r="N308" i="22" s="1"/>
  <c r="N246" i="22"/>
  <c r="N248" i="22" s="1"/>
  <c r="N249" i="22" s="1"/>
  <c r="N327" i="22"/>
  <c r="N330" i="22"/>
  <c r="N235" i="22"/>
  <c r="N237" i="22" s="1"/>
  <c r="N238" i="22" s="1"/>
  <c r="N283" i="22"/>
  <c r="N285" i="22" s="1"/>
  <c r="N286" i="22" s="1"/>
  <c r="N188" i="80" s="1"/>
  <c r="M62" i="65"/>
  <c r="Q80" i="65" s="1"/>
  <c r="M340" i="22"/>
  <c r="P79" i="65"/>
  <c r="O79" i="65"/>
  <c r="M79" i="65"/>
  <c r="N79" i="65"/>
  <c r="L79" i="65"/>
  <c r="Q60" i="65"/>
  <c r="AG78" i="65" s="1"/>
  <c r="Q367" i="22"/>
  <c r="O59" i="65"/>
  <c r="O395" i="22"/>
  <c r="O424" i="22"/>
  <c r="O453" i="22"/>
  <c r="O337" i="22"/>
  <c r="O366" i="22"/>
  <c r="K57" i="65"/>
  <c r="K75" i="65" s="1"/>
  <c r="K335" i="22"/>
  <c r="O78" i="65"/>
  <c r="P78" i="65"/>
  <c r="L78" i="65"/>
  <c r="M78" i="65"/>
  <c r="N78" i="65"/>
  <c r="P393" i="22"/>
  <c r="P57" i="65"/>
  <c r="P335" i="22"/>
  <c r="P364" i="22"/>
  <c r="P422" i="22"/>
  <c r="P451" i="22"/>
  <c r="Q364" i="22"/>
  <c r="Q57" i="65"/>
  <c r="AG75" i="65" s="1"/>
  <c r="O63" i="65"/>
  <c r="O428" i="22"/>
  <c r="O399" i="22"/>
  <c r="O370" i="22"/>
  <c r="O341" i="22"/>
  <c r="O457" i="22"/>
  <c r="O60" i="65"/>
  <c r="O454" i="22"/>
  <c r="O367" i="22"/>
  <c r="O338" i="22"/>
  <c r="O425" i="22"/>
  <c r="O396" i="22"/>
  <c r="O76" i="65"/>
  <c r="M76" i="65"/>
  <c r="N76" i="65"/>
  <c r="L76" i="65"/>
  <c r="P76" i="65"/>
  <c r="K341" i="22"/>
  <c r="K63" i="65"/>
  <c r="K81" i="65" s="1"/>
  <c r="L272" i="22"/>
  <c r="L274" i="22" s="1"/>
  <c r="L275" i="22" s="1"/>
  <c r="L235" i="22"/>
  <c r="L237" i="22" s="1"/>
  <c r="L238" i="22" s="1"/>
  <c r="L305" i="22"/>
  <c r="L307" i="22" s="1"/>
  <c r="L308" i="22" s="1"/>
  <c r="L324" i="22"/>
  <c r="L327" i="22"/>
  <c r="L326" i="22"/>
  <c r="L294" i="22"/>
  <c r="L296" i="22" s="1"/>
  <c r="L297" i="22" s="1"/>
  <c r="L189" i="80" s="1"/>
  <c r="L325" i="22"/>
  <c r="L328" i="22"/>
  <c r="L330" i="22"/>
  <c r="L246" i="22"/>
  <c r="L248" i="22" s="1"/>
  <c r="L249" i="22" s="1"/>
  <c r="L329" i="22"/>
  <c r="L257" i="22"/>
  <c r="L259" i="22" s="1"/>
  <c r="L260" i="22" s="1"/>
  <c r="L283" i="22"/>
  <c r="L285" i="22" s="1"/>
  <c r="L286" i="22" s="1"/>
  <c r="L188" i="80" s="1"/>
  <c r="M57" i="65"/>
  <c r="Q75" i="65" s="1"/>
  <c r="M335" i="22"/>
  <c r="P59" i="65"/>
  <c r="P424" i="22"/>
  <c r="P366" i="22"/>
  <c r="P395" i="22"/>
  <c r="P453" i="22"/>
  <c r="P337" i="22"/>
  <c r="N58" i="65"/>
  <c r="N452" i="22"/>
  <c r="N336" i="22"/>
  <c r="N423" i="22"/>
  <c r="N365" i="22"/>
  <c r="N394" i="22"/>
  <c r="N338" i="22"/>
  <c r="N60" i="65"/>
  <c r="N396" i="22"/>
  <c r="N425" i="22"/>
  <c r="N454" i="22"/>
  <c r="N367" i="22"/>
  <c r="Q62" i="65"/>
  <c r="AG80" i="65" s="1"/>
  <c r="Q369" i="22"/>
  <c r="O61" i="65"/>
  <c r="O368" i="22"/>
  <c r="O426" i="22"/>
  <c r="O397" i="22"/>
  <c r="O455" i="22"/>
  <c r="O339" i="22"/>
  <c r="J235" i="22"/>
  <c r="J237" i="22" s="1"/>
  <c r="J238" i="22" s="1"/>
  <c r="J324" i="22"/>
  <c r="J329" i="22"/>
  <c r="J294" i="22"/>
  <c r="J296" i="22" s="1"/>
  <c r="J297" i="22" s="1"/>
  <c r="J189" i="80" s="1"/>
  <c r="J328" i="22"/>
  <c r="J246" i="22"/>
  <c r="J248" i="22" s="1"/>
  <c r="J249" i="22" s="1"/>
  <c r="J325" i="22"/>
  <c r="J326" i="22"/>
  <c r="J272" i="22"/>
  <c r="J274" i="22" s="1"/>
  <c r="J275" i="22" s="1"/>
  <c r="J305" i="22"/>
  <c r="J307" i="22" s="1"/>
  <c r="J308" i="22" s="1"/>
  <c r="J330" i="22"/>
  <c r="J257" i="22"/>
  <c r="J259" i="22" s="1"/>
  <c r="J260" i="22" s="1"/>
  <c r="J283" i="22"/>
  <c r="J285" i="22" s="1"/>
  <c r="J286" i="22" s="1"/>
  <c r="J188" i="80" s="1"/>
  <c r="J327" i="22"/>
  <c r="M63" i="65"/>
  <c r="Q81" i="65" s="1"/>
  <c r="M341" i="22"/>
  <c r="K61" i="65"/>
  <c r="K79" i="65" s="1"/>
  <c r="K339" i="22"/>
  <c r="O325" i="22"/>
  <c r="O327" i="22"/>
  <c r="O272" i="22"/>
  <c r="O274" i="22" s="1"/>
  <c r="O275" i="22" s="1"/>
  <c r="O257" i="22"/>
  <c r="O259" i="22" s="1"/>
  <c r="O260" i="22" s="1"/>
  <c r="O235" i="22"/>
  <c r="O237" i="22" s="1"/>
  <c r="O238" i="22" s="1"/>
  <c r="O326" i="22"/>
  <c r="O324" i="22"/>
  <c r="O328" i="22"/>
  <c r="O330" i="22"/>
  <c r="O329" i="22"/>
  <c r="O246" i="22"/>
  <c r="O248" i="22" s="1"/>
  <c r="O249" i="22" s="1"/>
  <c r="O294" i="22"/>
  <c r="O296" i="22" s="1"/>
  <c r="O297" i="22" s="1"/>
  <c r="O189" i="80" s="1"/>
  <c r="O305" i="22"/>
  <c r="O307" i="22" s="1"/>
  <c r="O308" i="22" s="1"/>
  <c r="O283" i="22"/>
  <c r="O285" i="22" s="1"/>
  <c r="O286" i="22" s="1"/>
  <c r="O188" i="80" s="1"/>
  <c r="P61" i="65"/>
  <c r="P397" i="22"/>
  <c r="P426" i="22"/>
  <c r="P368" i="22"/>
  <c r="P455" i="22"/>
  <c r="P339" i="22"/>
  <c r="N61" i="65"/>
  <c r="N339" i="22"/>
  <c r="N426" i="22"/>
  <c r="N397" i="22"/>
  <c r="N368" i="22"/>
  <c r="N455" i="22"/>
  <c r="K338" i="22"/>
  <c r="K60" i="65"/>
  <c r="K78" i="65" s="1"/>
  <c r="M235" i="22"/>
  <c r="M237" i="22" s="1"/>
  <c r="M238" i="22" s="1"/>
  <c r="M272" i="22"/>
  <c r="M274" i="22" s="1"/>
  <c r="M275" i="22" s="1"/>
  <c r="M246" i="22"/>
  <c r="M248" i="22" s="1"/>
  <c r="M249" i="22" s="1"/>
  <c r="M325" i="22"/>
  <c r="M330" i="22"/>
  <c r="M305" i="22"/>
  <c r="M307" i="22" s="1"/>
  <c r="M308" i="22" s="1"/>
  <c r="M326" i="22"/>
  <c r="M324" i="22"/>
  <c r="M283" i="22"/>
  <c r="M285" i="22" s="1"/>
  <c r="M286" i="22" s="1"/>
  <c r="M188" i="80" s="1"/>
  <c r="M257" i="22"/>
  <c r="M259" i="22" s="1"/>
  <c r="M260" i="22" s="1"/>
  <c r="M294" i="22"/>
  <c r="M296" i="22" s="1"/>
  <c r="M297" i="22" s="1"/>
  <c r="M189" i="80" s="1"/>
  <c r="M328" i="22"/>
  <c r="M329" i="22"/>
  <c r="M327" i="22"/>
  <c r="M338" i="22"/>
  <c r="M60" i="65"/>
  <c r="Q78" i="65" s="1"/>
  <c r="P58" i="65"/>
  <c r="P452" i="22"/>
  <c r="P423" i="22"/>
  <c r="P365" i="22"/>
  <c r="P336" i="22"/>
  <c r="P394" i="22"/>
  <c r="N59" i="65"/>
  <c r="N337" i="22"/>
  <c r="N453" i="22"/>
  <c r="N395" i="22"/>
  <c r="N424" i="22"/>
  <c r="N366" i="22"/>
  <c r="Q61" i="65"/>
  <c r="AG79" i="65" s="1"/>
  <c r="Q368" i="22"/>
  <c r="O62" i="65"/>
  <c r="O340" i="22"/>
  <c r="O369" i="22"/>
  <c r="O398" i="22"/>
  <c r="O456" i="22"/>
  <c r="O427" i="22"/>
  <c r="M81" i="65" l="1"/>
  <c r="L81" i="65"/>
  <c r="M80" i="65"/>
  <c r="O80" i="65"/>
  <c r="N80" i="65"/>
  <c r="L191" i="80"/>
  <c r="L192" i="80" s="1"/>
  <c r="Q191" i="80"/>
  <c r="Q192" i="80" s="1"/>
  <c r="Q241" i="80" s="1"/>
  <c r="J191" i="80"/>
  <c r="J192" i="80" s="1"/>
  <c r="J202" i="80" s="1"/>
  <c r="M191" i="80"/>
  <c r="M192" i="80" s="1"/>
  <c r="M245" i="80" s="1"/>
  <c r="K191" i="80"/>
  <c r="K192" i="80" s="1"/>
  <c r="K244" i="80" s="1"/>
  <c r="P191" i="80"/>
  <c r="P192" i="80" s="1"/>
  <c r="P202" i="80" s="1"/>
  <c r="O191" i="80"/>
  <c r="O192" i="80" s="1"/>
  <c r="O242" i="80" s="1"/>
  <c r="N191" i="80"/>
  <c r="N192" i="80" s="1"/>
  <c r="N255" i="80" s="1"/>
  <c r="M33" i="53"/>
  <c r="M58" i="80"/>
  <c r="M264" i="22"/>
  <c r="M17" i="111" s="1"/>
  <c r="K57" i="80"/>
  <c r="K32" i="53"/>
  <c r="N57" i="80"/>
  <c r="N32" i="53"/>
  <c r="P16" i="111"/>
  <c r="P18" i="74"/>
  <c r="K33" i="53"/>
  <c r="K58" i="80"/>
  <c r="K264" i="22"/>
  <c r="K17" i="111" s="1"/>
  <c r="O57" i="80"/>
  <c r="O32" i="53"/>
  <c r="M57" i="80"/>
  <c r="M32" i="53"/>
  <c r="O56" i="80"/>
  <c r="O31" i="53"/>
  <c r="O16" i="111"/>
  <c r="O18" i="74"/>
  <c r="O33" i="53"/>
  <c r="O58" i="80"/>
  <c r="O264" i="22"/>
  <c r="O17" i="111" s="1"/>
  <c r="Q57" i="80"/>
  <c r="Q32" i="53"/>
  <c r="M18" i="74"/>
  <c r="M16" i="111"/>
  <c r="N378" i="22"/>
  <c r="N387" i="22" s="1"/>
  <c r="N512" i="22" s="1"/>
  <c r="S58" i="41" s="1"/>
  <c r="N407" i="22"/>
  <c r="N416" i="22" s="1"/>
  <c r="N513" i="22" s="1"/>
  <c r="T58" i="41" s="1"/>
  <c r="N349" i="22"/>
  <c r="N358" i="22" s="1"/>
  <c r="N511" i="22" s="1"/>
  <c r="R58" i="41" s="1"/>
  <c r="N436" i="22"/>
  <c r="N445" i="22" s="1"/>
  <c r="N514" i="22" s="1"/>
  <c r="U58" i="41" s="1"/>
  <c r="N465" i="22"/>
  <c r="N474" i="22" s="1"/>
  <c r="N515" i="22" s="1"/>
  <c r="V58" i="41" s="1"/>
  <c r="N71" i="65"/>
  <c r="M348" i="22"/>
  <c r="M70" i="65"/>
  <c r="Q88" i="65" s="1"/>
  <c r="K345" i="22"/>
  <c r="K354" i="22" s="1"/>
  <c r="K487" i="22" s="1"/>
  <c r="K54" i="41" s="1"/>
  <c r="K67" i="65"/>
  <c r="K85" i="65" s="1"/>
  <c r="K344" i="22"/>
  <c r="K66" i="65"/>
  <c r="K84" i="65" s="1"/>
  <c r="P58" i="80"/>
  <c r="P33" i="53"/>
  <c r="P264" i="22"/>
  <c r="P17" i="111" s="1"/>
  <c r="J16" i="111"/>
  <c r="J18" i="74"/>
  <c r="J31" i="53"/>
  <c r="J56" i="80"/>
  <c r="Y79" i="65"/>
  <c r="Z79" i="65"/>
  <c r="AA79" i="65"/>
  <c r="X79" i="65"/>
  <c r="W79" i="65"/>
  <c r="R78" i="65"/>
  <c r="T78" i="65"/>
  <c r="S78" i="65"/>
  <c r="V78" i="65"/>
  <c r="U78" i="65"/>
  <c r="L379" i="22"/>
  <c r="L388" i="22" s="1"/>
  <c r="L518" i="22" s="1"/>
  <c r="M59" i="41" s="1"/>
  <c r="L72" i="65"/>
  <c r="L350" i="22"/>
  <c r="L359" i="22" s="1"/>
  <c r="L517" i="22" s="1"/>
  <c r="L59" i="41" s="1"/>
  <c r="L408" i="22"/>
  <c r="L417" i="22" s="1"/>
  <c r="L519" i="22" s="1"/>
  <c r="N59" i="41" s="1"/>
  <c r="L437" i="22"/>
  <c r="L446" i="22" s="1"/>
  <c r="L520" i="22" s="1"/>
  <c r="O59" i="41" s="1"/>
  <c r="L466" i="22"/>
  <c r="L475" i="22" s="1"/>
  <c r="L521" i="22" s="1"/>
  <c r="P59" i="41" s="1"/>
  <c r="L56" i="80"/>
  <c r="L31" i="53"/>
  <c r="X81" i="65"/>
  <c r="Z81" i="65"/>
  <c r="AA81" i="65"/>
  <c r="W81" i="65"/>
  <c r="Y81" i="65"/>
  <c r="N18" i="74"/>
  <c r="N16" i="111"/>
  <c r="N374" i="22"/>
  <c r="N383" i="22" s="1"/>
  <c r="N488" i="22" s="1"/>
  <c r="S54" i="41" s="1"/>
  <c r="N432" i="22"/>
  <c r="N441" i="22" s="1"/>
  <c r="N490" i="22" s="1"/>
  <c r="U54" i="41" s="1"/>
  <c r="N403" i="22"/>
  <c r="N412" i="22" s="1"/>
  <c r="N489" i="22" s="1"/>
  <c r="T54" i="41" s="1"/>
  <c r="N345" i="22"/>
  <c r="N354" i="22" s="1"/>
  <c r="N487" i="22" s="1"/>
  <c r="R54" i="41" s="1"/>
  <c r="N67" i="65"/>
  <c r="N461" i="22"/>
  <c r="N470" i="22" s="1"/>
  <c r="N491" i="22" s="1"/>
  <c r="V54" i="41" s="1"/>
  <c r="P66" i="65"/>
  <c r="P373" i="22"/>
  <c r="P382" i="22" s="1"/>
  <c r="P482" i="22" s="1"/>
  <c r="AC53" i="41" s="1"/>
  <c r="P431" i="22"/>
  <c r="P440" i="22" s="1"/>
  <c r="P484" i="22" s="1"/>
  <c r="AE53" i="41" s="1"/>
  <c r="P344" i="22"/>
  <c r="P353" i="22" s="1"/>
  <c r="P481" i="22" s="1"/>
  <c r="AB53" i="41" s="1"/>
  <c r="P402" i="22"/>
  <c r="P411" i="22" s="1"/>
  <c r="P483" i="22" s="1"/>
  <c r="AD53" i="41" s="1"/>
  <c r="P460" i="22"/>
  <c r="P469" i="22" s="1"/>
  <c r="P485" i="22" s="1"/>
  <c r="AF53" i="41" s="1"/>
  <c r="K71" i="65"/>
  <c r="K89" i="65" s="1"/>
  <c r="K349" i="22"/>
  <c r="K358" i="22" s="1"/>
  <c r="K511" i="22" s="1"/>
  <c r="K58" i="41" s="1"/>
  <c r="Z76" i="65"/>
  <c r="X76" i="65"/>
  <c r="AA76" i="65"/>
  <c r="Y76" i="65"/>
  <c r="W76" i="65"/>
  <c r="Q379" i="22"/>
  <c r="Q388" i="22" s="1"/>
  <c r="Q518" i="22" s="1"/>
  <c r="AG59" i="41" s="1"/>
  <c r="Q72" i="65"/>
  <c r="AG90" i="65" s="1"/>
  <c r="M350" i="22"/>
  <c r="M359" i="22" s="1"/>
  <c r="M517" i="22" s="1"/>
  <c r="Q59" i="41" s="1"/>
  <c r="M72" i="65"/>
  <c r="Q90" i="65" s="1"/>
  <c r="J378" i="22"/>
  <c r="J387" i="22" s="1"/>
  <c r="J512" i="22" s="1"/>
  <c r="J58" i="41" s="1"/>
  <c r="J71" i="65"/>
  <c r="J89" i="65" s="1"/>
  <c r="AE77" i="65"/>
  <c r="AD77" i="65"/>
  <c r="AB77" i="65"/>
  <c r="AF77" i="65"/>
  <c r="AC77" i="65"/>
  <c r="K353" i="22"/>
  <c r="K481" i="22" s="1"/>
  <c r="K53" i="41" s="1"/>
  <c r="AF76" i="65"/>
  <c r="AE76" i="65"/>
  <c r="AC76" i="65"/>
  <c r="AD76" i="65"/>
  <c r="AB76" i="65"/>
  <c r="T79" i="65"/>
  <c r="U79" i="65"/>
  <c r="V79" i="65"/>
  <c r="R79" i="65"/>
  <c r="S79" i="65"/>
  <c r="P377" i="22"/>
  <c r="P386" i="22" s="1"/>
  <c r="P506" i="22" s="1"/>
  <c r="AC57" i="41" s="1"/>
  <c r="P406" i="22"/>
  <c r="P415" i="22" s="1"/>
  <c r="P507" i="22" s="1"/>
  <c r="AD57" i="41" s="1"/>
  <c r="P348" i="22"/>
  <c r="P357" i="22" s="1"/>
  <c r="P505" i="22" s="1"/>
  <c r="AB57" i="41" s="1"/>
  <c r="P464" i="22"/>
  <c r="P473" i="22" s="1"/>
  <c r="P509" i="22" s="1"/>
  <c r="AF57" i="41" s="1"/>
  <c r="P70" i="65"/>
  <c r="P435" i="22"/>
  <c r="P444" i="22" s="1"/>
  <c r="P508" i="22" s="1"/>
  <c r="AE57" i="41" s="1"/>
  <c r="K16" i="111"/>
  <c r="K18" i="74"/>
  <c r="J375" i="22"/>
  <c r="J384" i="22" s="1"/>
  <c r="J494" i="22" s="1"/>
  <c r="J55" i="41" s="1"/>
  <c r="J68" i="65"/>
  <c r="J86" i="65" s="1"/>
  <c r="Q16" i="111"/>
  <c r="Q18" i="74"/>
  <c r="L348" i="22"/>
  <c r="L357" i="22" s="1"/>
  <c r="L505" i="22" s="1"/>
  <c r="L57" i="41" s="1"/>
  <c r="L377" i="22"/>
  <c r="L386" i="22" s="1"/>
  <c r="L506" i="22" s="1"/>
  <c r="M57" i="41" s="1"/>
  <c r="L406" i="22"/>
  <c r="L415" i="22" s="1"/>
  <c r="L507" i="22" s="1"/>
  <c r="N57" i="41" s="1"/>
  <c r="L464" i="22"/>
  <c r="L473" i="22" s="1"/>
  <c r="L509" i="22" s="1"/>
  <c r="P57" i="41" s="1"/>
  <c r="L435" i="22"/>
  <c r="L444" i="22" s="1"/>
  <c r="L508" i="22" s="1"/>
  <c r="O57" i="41" s="1"/>
  <c r="L70" i="65"/>
  <c r="L16" i="111"/>
  <c r="L18" i="74"/>
  <c r="P346" i="22"/>
  <c r="P355" i="22" s="1"/>
  <c r="P493" i="22" s="1"/>
  <c r="AB55" i="41" s="1"/>
  <c r="P433" i="22"/>
  <c r="P442" i="22" s="1"/>
  <c r="P496" i="22" s="1"/>
  <c r="AE55" i="41" s="1"/>
  <c r="P462" i="22"/>
  <c r="P471" i="22" s="1"/>
  <c r="P497" i="22" s="1"/>
  <c r="AF55" i="41" s="1"/>
  <c r="P68" i="65"/>
  <c r="P404" i="22"/>
  <c r="P413" i="22" s="1"/>
  <c r="P495" i="22" s="1"/>
  <c r="AD55" i="41" s="1"/>
  <c r="P375" i="22"/>
  <c r="P384" i="22" s="1"/>
  <c r="P494" i="22" s="1"/>
  <c r="AC55" i="41" s="1"/>
  <c r="P379" i="22"/>
  <c r="P388" i="22" s="1"/>
  <c r="P518" i="22" s="1"/>
  <c r="AC59" i="41" s="1"/>
  <c r="P72" i="65"/>
  <c r="P350" i="22"/>
  <c r="P359" i="22" s="1"/>
  <c r="P517" i="22" s="1"/>
  <c r="AB59" i="41" s="1"/>
  <c r="P408" i="22"/>
  <c r="P437" i="22"/>
  <c r="P446" i="22" s="1"/>
  <c r="P520" i="22" s="1"/>
  <c r="AE59" i="41" s="1"/>
  <c r="P466" i="22"/>
  <c r="P475" i="22" s="1"/>
  <c r="P521" i="22" s="1"/>
  <c r="AF59" i="41" s="1"/>
  <c r="K350" i="22"/>
  <c r="K359" i="22" s="1"/>
  <c r="K517" i="22" s="1"/>
  <c r="K59" i="41" s="1"/>
  <c r="K72" i="65"/>
  <c r="K90" i="65" s="1"/>
  <c r="Q33" i="53"/>
  <c r="Q58" i="80"/>
  <c r="Q264" i="22"/>
  <c r="Q17" i="111" s="1"/>
  <c r="Q29" i="111" s="1"/>
  <c r="P417" i="22"/>
  <c r="P519" i="22" s="1"/>
  <c r="AD59" i="41" s="1"/>
  <c r="Q66" i="65"/>
  <c r="AG84" i="65" s="1"/>
  <c r="Q373" i="22"/>
  <c r="Q382" i="22" s="1"/>
  <c r="Q482" i="22" s="1"/>
  <c r="AG53" i="41" s="1"/>
  <c r="M349" i="22"/>
  <c r="M358" i="22" s="1"/>
  <c r="M511" i="22" s="1"/>
  <c r="Q58" i="41" s="1"/>
  <c r="M71" i="65"/>
  <c r="Q89" i="65" s="1"/>
  <c r="O66" i="65"/>
  <c r="O431" i="22"/>
  <c r="O440" i="22" s="1"/>
  <c r="O484" i="22" s="1"/>
  <c r="Z53" i="41" s="1"/>
  <c r="O460" i="22"/>
  <c r="O469" i="22" s="1"/>
  <c r="O485" i="22" s="1"/>
  <c r="AA53" i="41" s="1"/>
  <c r="O373" i="22"/>
  <c r="O382" i="22" s="1"/>
  <c r="O482" i="22" s="1"/>
  <c r="X53" i="41" s="1"/>
  <c r="O402" i="22"/>
  <c r="O411" i="22" s="1"/>
  <c r="O483" i="22" s="1"/>
  <c r="Y53" i="41" s="1"/>
  <c r="O344" i="22"/>
  <c r="O353" i="22" s="1"/>
  <c r="O481" i="22" s="1"/>
  <c r="W53" i="41" s="1"/>
  <c r="L349" i="22"/>
  <c r="L358" i="22" s="1"/>
  <c r="L511" i="22" s="1"/>
  <c r="L58" i="41" s="1"/>
  <c r="L378" i="22"/>
  <c r="L387" i="22" s="1"/>
  <c r="L512" i="22" s="1"/>
  <c r="M58" i="41" s="1"/>
  <c r="L407" i="22"/>
  <c r="L416" i="22" s="1"/>
  <c r="L513" i="22" s="1"/>
  <c r="N58" i="41" s="1"/>
  <c r="L71" i="65"/>
  <c r="L465" i="22"/>
  <c r="L474" i="22" s="1"/>
  <c r="L515" i="22" s="1"/>
  <c r="P58" i="41" s="1"/>
  <c r="L436" i="22"/>
  <c r="L445" i="22" s="1"/>
  <c r="L514" i="22" s="1"/>
  <c r="O58" i="41" s="1"/>
  <c r="P345" i="22"/>
  <c r="P354" i="22" s="1"/>
  <c r="P487" i="22" s="1"/>
  <c r="AB54" i="41" s="1"/>
  <c r="P403" i="22"/>
  <c r="P412" i="22" s="1"/>
  <c r="P489" i="22" s="1"/>
  <c r="AD54" i="41" s="1"/>
  <c r="P461" i="22"/>
  <c r="P470" i="22" s="1"/>
  <c r="P491" i="22" s="1"/>
  <c r="AF54" i="41" s="1"/>
  <c r="P432" i="22"/>
  <c r="P441" i="22" s="1"/>
  <c r="P490" i="22" s="1"/>
  <c r="AE54" i="41" s="1"/>
  <c r="P67" i="65"/>
  <c r="P374" i="22"/>
  <c r="P383" i="22" s="1"/>
  <c r="P488" i="22" s="1"/>
  <c r="AC54" i="41" s="1"/>
  <c r="U77" i="65"/>
  <c r="V77" i="65"/>
  <c r="T77" i="65"/>
  <c r="R77" i="65"/>
  <c r="S77" i="65"/>
  <c r="P376" i="22"/>
  <c r="P385" i="22" s="1"/>
  <c r="P500" i="22" s="1"/>
  <c r="AC56" i="41" s="1"/>
  <c r="P69" i="65"/>
  <c r="P347" i="22"/>
  <c r="P356" i="22" s="1"/>
  <c r="P499" i="22" s="1"/>
  <c r="AB56" i="41" s="1"/>
  <c r="P463" i="22"/>
  <c r="P472" i="22" s="1"/>
  <c r="P503" i="22" s="1"/>
  <c r="AF56" i="41" s="1"/>
  <c r="P434" i="22"/>
  <c r="P443" i="22" s="1"/>
  <c r="P502" i="22" s="1"/>
  <c r="AE56" i="41" s="1"/>
  <c r="P405" i="22"/>
  <c r="P414" i="22" s="1"/>
  <c r="P501" i="22" s="1"/>
  <c r="AD56" i="41" s="1"/>
  <c r="Q375" i="22"/>
  <c r="Q384" i="22" s="1"/>
  <c r="Q494" i="22" s="1"/>
  <c r="AG55" i="41" s="1"/>
  <c r="Q68" i="65"/>
  <c r="AG86" i="65" s="1"/>
  <c r="J67" i="65"/>
  <c r="J85" i="65" s="1"/>
  <c r="J374" i="22"/>
  <c r="J383" i="22" s="1"/>
  <c r="J488" i="22" s="1"/>
  <c r="J54" i="41" s="1"/>
  <c r="L432" i="22"/>
  <c r="L441" i="22" s="1"/>
  <c r="L490" i="22" s="1"/>
  <c r="O54" i="41" s="1"/>
  <c r="L67" i="65"/>
  <c r="L461" i="22"/>
  <c r="L470" i="22" s="1"/>
  <c r="L491" i="22" s="1"/>
  <c r="P54" i="41" s="1"/>
  <c r="L374" i="22"/>
  <c r="L383" i="22" s="1"/>
  <c r="L488" i="22" s="1"/>
  <c r="M54" i="41" s="1"/>
  <c r="L403" i="22"/>
  <c r="L412" i="22" s="1"/>
  <c r="L489" i="22" s="1"/>
  <c r="N54" i="41" s="1"/>
  <c r="L345" i="22"/>
  <c r="L354" i="22" s="1"/>
  <c r="L487" i="22" s="1"/>
  <c r="L54" i="41" s="1"/>
  <c r="Z78" i="65"/>
  <c r="X78" i="65"/>
  <c r="W78" i="65"/>
  <c r="AA78" i="65"/>
  <c r="Y78" i="65"/>
  <c r="AE75" i="65"/>
  <c r="AD75" i="65"/>
  <c r="AF75" i="65"/>
  <c r="AB75" i="65"/>
  <c r="AC75" i="65"/>
  <c r="Y77" i="65"/>
  <c r="AA77" i="65"/>
  <c r="W77" i="65"/>
  <c r="Z77" i="65"/>
  <c r="X77" i="65"/>
  <c r="AE78" i="65"/>
  <c r="AF78" i="65"/>
  <c r="AD78" i="65"/>
  <c r="AB78" i="65"/>
  <c r="AC78" i="65"/>
  <c r="K346" i="22"/>
  <c r="K355" i="22" s="1"/>
  <c r="K493" i="22" s="1"/>
  <c r="K55" i="41" s="1"/>
  <c r="K68" i="65"/>
  <c r="K86" i="65" s="1"/>
  <c r="X75" i="65"/>
  <c r="Z75" i="65"/>
  <c r="Y75" i="65"/>
  <c r="AA75" i="65"/>
  <c r="W75" i="65"/>
  <c r="Q378" i="22"/>
  <c r="Q387" i="22" s="1"/>
  <c r="Q512" i="22" s="1"/>
  <c r="AG58" i="41" s="1"/>
  <c r="Q71" i="65"/>
  <c r="AG89" i="65" s="1"/>
  <c r="K240" i="80"/>
  <c r="K258" i="80"/>
  <c r="K259" i="80"/>
  <c r="K257" i="80"/>
  <c r="O404" i="22"/>
  <c r="O413" i="22" s="1"/>
  <c r="O495" i="22" s="1"/>
  <c r="Y55" i="41" s="1"/>
  <c r="O462" i="22"/>
  <c r="O471" i="22" s="1"/>
  <c r="O497" i="22" s="1"/>
  <c r="AA55" i="41" s="1"/>
  <c r="O68" i="65"/>
  <c r="O433" i="22"/>
  <c r="O442" i="22" s="1"/>
  <c r="O496" i="22" s="1"/>
  <c r="Z55" i="41" s="1"/>
  <c r="O375" i="22"/>
  <c r="O384" i="22" s="1"/>
  <c r="O494" i="22" s="1"/>
  <c r="X55" i="41" s="1"/>
  <c r="O346" i="22"/>
  <c r="O355" i="22" s="1"/>
  <c r="O493" i="22" s="1"/>
  <c r="W55" i="41" s="1"/>
  <c r="J66" i="65"/>
  <c r="J84" i="65" s="1"/>
  <c r="J373" i="22"/>
  <c r="J382" i="22" s="1"/>
  <c r="J482" i="22" s="1"/>
  <c r="J53" i="41" s="1"/>
  <c r="U76" i="65"/>
  <c r="V76" i="65"/>
  <c r="T76" i="65"/>
  <c r="S76" i="65"/>
  <c r="R76" i="65"/>
  <c r="O71" i="65"/>
  <c r="O465" i="22"/>
  <c r="O474" i="22" s="1"/>
  <c r="O515" i="22" s="1"/>
  <c r="AA58" i="41" s="1"/>
  <c r="O349" i="22"/>
  <c r="O358" i="22" s="1"/>
  <c r="O511" i="22" s="1"/>
  <c r="W58" i="41" s="1"/>
  <c r="O436" i="22"/>
  <c r="O445" i="22" s="1"/>
  <c r="O514" i="22" s="1"/>
  <c r="Z58" i="41" s="1"/>
  <c r="O407" i="22"/>
  <c r="O416" i="22" s="1"/>
  <c r="O513" i="22" s="1"/>
  <c r="Y58" i="41" s="1"/>
  <c r="O378" i="22"/>
  <c r="O387" i="22" s="1"/>
  <c r="O512" i="22" s="1"/>
  <c r="X58" i="41" s="1"/>
  <c r="J376" i="22"/>
  <c r="J385" i="22" s="1"/>
  <c r="J500" i="22" s="1"/>
  <c r="J56" i="41" s="1"/>
  <c r="J69" i="65"/>
  <c r="J87" i="65" s="1"/>
  <c r="M254" i="80"/>
  <c r="M259" i="80"/>
  <c r="Q242" i="80"/>
  <c r="Q245" i="80"/>
  <c r="Q243" i="80"/>
  <c r="Q246" i="80"/>
  <c r="M357" i="22"/>
  <c r="M505" i="22" s="1"/>
  <c r="Q57" i="41" s="1"/>
  <c r="K69" i="65"/>
  <c r="K87" i="65" s="1"/>
  <c r="K347" i="22"/>
  <c r="K356" i="22" s="1"/>
  <c r="K499" i="22" s="1"/>
  <c r="K56" i="41" s="1"/>
  <c r="Q376" i="22"/>
  <c r="Q385" i="22" s="1"/>
  <c r="Q500" i="22" s="1"/>
  <c r="AG56" i="41" s="1"/>
  <c r="Q69" i="65"/>
  <c r="AG87" i="65" s="1"/>
  <c r="Q67" i="65"/>
  <c r="AG85" i="65" s="1"/>
  <c r="Q374" i="22"/>
  <c r="Q383" i="22" s="1"/>
  <c r="Q488" i="22" s="1"/>
  <c r="AG54" i="41" s="1"/>
  <c r="V75" i="65"/>
  <c r="S75" i="65"/>
  <c r="U75" i="65"/>
  <c r="R75" i="65"/>
  <c r="T75" i="65"/>
  <c r="L373" i="22"/>
  <c r="L382" i="22" s="1"/>
  <c r="L482" i="22" s="1"/>
  <c r="M53" i="41" s="1"/>
  <c r="L460" i="22"/>
  <c r="L469" i="22" s="1"/>
  <c r="L485" i="22" s="1"/>
  <c r="P53" i="41" s="1"/>
  <c r="L431" i="22"/>
  <c r="L440" i="22" s="1"/>
  <c r="L484" i="22" s="1"/>
  <c r="O53" i="41" s="1"/>
  <c r="L66" i="65"/>
  <c r="L402" i="22"/>
  <c r="L411" i="22" s="1"/>
  <c r="L483" i="22" s="1"/>
  <c r="N53" i="41" s="1"/>
  <c r="L344" i="22"/>
  <c r="L353" i="22" s="1"/>
  <c r="L481" i="22" s="1"/>
  <c r="L53" i="41" s="1"/>
  <c r="P57" i="80"/>
  <c r="P32" i="53"/>
  <c r="O405" i="22"/>
  <c r="O414" i="22" s="1"/>
  <c r="O501" i="22" s="1"/>
  <c r="Y56" i="41" s="1"/>
  <c r="O347" i="22"/>
  <c r="O356" i="22" s="1"/>
  <c r="O499" i="22" s="1"/>
  <c r="W56" i="41" s="1"/>
  <c r="O376" i="22"/>
  <c r="O385" i="22" s="1"/>
  <c r="O500" i="22" s="1"/>
  <c r="X56" i="41" s="1"/>
  <c r="O434" i="22"/>
  <c r="O443" i="22" s="1"/>
  <c r="O502" i="22" s="1"/>
  <c r="Z56" i="41" s="1"/>
  <c r="O69" i="65"/>
  <c r="O463" i="22"/>
  <c r="O472" i="22" s="1"/>
  <c r="O503" i="22" s="1"/>
  <c r="AA56" i="41" s="1"/>
  <c r="M346" i="22"/>
  <c r="M355" i="22" s="1"/>
  <c r="M493" i="22" s="1"/>
  <c r="Q55" i="41" s="1"/>
  <c r="M68" i="65"/>
  <c r="Q86" i="65" s="1"/>
  <c r="O403" i="22"/>
  <c r="O412" i="22" s="1"/>
  <c r="O489" i="22" s="1"/>
  <c r="Y54" i="41" s="1"/>
  <c r="O67" i="65"/>
  <c r="O345" i="22"/>
  <c r="O354" i="22" s="1"/>
  <c r="O487" i="22" s="1"/>
  <c r="W54" i="41" s="1"/>
  <c r="O374" i="22"/>
  <c r="O383" i="22" s="1"/>
  <c r="O488" i="22" s="1"/>
  <c r="X54" i="41" s="1"/>
  <c r="O432" i="22"/>
  <c r="O441" i="22" s="1"/>
  <c r="O490" i="22" s="1"/>
  <c r="Z54" i="41" s="1"/>
  <c r="O461" i="22"/>
  <c r="O470" i="22" s="1"/>
  <c r="O491" i="22" s="1"/>
  <c r="AA54" i="41" s="1"/>
  <c r="J70" i="65"/>
  <c r="J88" i="65" s="1"/>
  <c r="J377" i="22"/>
  <c r="J386" i="22" s="1"/>
  <c r="J506" i="22" s="1"/>
  <c r="J57" i="41" s="1"/>
  <c r="L202" i="80"/>
  <c r="L246" i="80"/>
  <c r="L245" i="80"/>
  <c r="L241" i="80"/>
  <c r="L243" i="80"/>
  <c r="L239" i="80"/>
  <c r="L242" i="80"/>
  <c r="L244" i="80"/>
  <c r="L240" i="80"/>
  <c r="L433" i="22"/>
  <c r="L442" i="22" s="1"/>
  <c r="L496" i="22" s="1"/>
  <c r="O55" i="41" s="1"/>
  <c r="L462" i="22"/>
  <c r="L471" i="22" s="1"/>
  <c r="L497" i="22" s="1"/>
  <c r="P55" i="41" s="1"/>
  <c r="L404" i="22"/>
  <c r="L413" i="22" s="1"/>
  <c r="L495" i="22" s="1"/>
  <c r="N55" i="41" s="1"/>
  <c r="L346" i="22"/>
  <c r="L355" i="22" s="1"/>
  <c r="L493" i="22" s="1"/>
  <c r="L55" i="41" s="1"/>
  <c r="L68" i="65"/>
  <c r="L375" i="22"/>
  <c r="L384" i="22" s="1"/>
  <c r="L494" i="22" s="1"/>
  <c r="M55" i="41" s="1"/>
  <c r="N58" i="80"/>
  <c r="N264" i="22"/>
  <c r="N17" i="111" s="1"/>
  <c r="N33" i="53"/>
  <c r="P31" i="53"/>
  <c r="P56" i="80"/>
  <c r="N72" i="65"/>
  <c r="N379" i="22"/>
  <c r="N388" i="22" s="1"/>
  <c r="N518" i="22" s="1"/>
  <c r="S59" i="41" s="1"/>
  <c r="N466" i="22"/>
  <c r="N475" i="22" s="1"/>
  <c r="N521" i="22" s="1"/>
  <c r="V59" i="41" s="1"/>
  <c r="N408" i="22"/>
  <c r="N417" i="22" s="1"/>
  <c r="N519" i="22" s="1"/>
  <c r="T59" i="41" s="1"/>
  <c r="N350" i="22"/>
  <c r="N359" i="22" s="1"/>
  <c r="N517" i="22" s="1"/>
  <c r="R59" i="41" s="1"/>
  <c r="N437" i="22"/>
  <c r="N446" i="22" s="1"/>
  <c r="N520" i="22" s="1"/>
  <c r="U59" i="41" s="1"/>
  <c r="N373" i="22"/>
  <c r="N382" i="22" s="1"/>
  <c r="N482" i="22" s="1"/>
  <c r="S53" i="41" s="1"/>
  <c r="N431" i="22"/>
  <c r="N440" i="22" s="1"/>
  <c r="N484" i="22" s="1"/>
  <c r="U53" i="41" s="1"/>
  <c r="N402" i="22"/>
  <c r="N411" i="22" s="1"/>
  <c r="N483" i="22" s="1"/>
  <c r="T53" i="41" s="1"/>
  <c r="N460" i="22"/>
  <c r="N469" i="22" s="1"/>
  <c r="N485" i="22" s="1"/>
  <c r="V53" i="41" s="1"/>
  <c r="N344" i="22"/>
  <c r="N353" i="22" s="1"/>
  <c r="N481" i="22" s="1"/>
  <c r="R53" i="41" s="1"/>
  <c r="N66" i="65"/>
  <c r="R80" i="65"/>
  <c r="T80" i="65"/>
  <c r="V80" i="65"/>
  <c r="U80" i="65"/>
  <c r="S80" i="65"/>
  <c r="P436" i="22"/>
  <c r="P445" i="22" s="1"/>
  <c r="P514" i="22" s="1"/>
  <c r="AE58" i="41" s="1"/>
  <c r="P71" i="65"/>
  <c r="P378" i="22"/>
  <c r="P387" i="22" s="1"/>
  <c r="P512" i="22" s="1"/>
  <c r="AC58" i="41" s="1"/>
  <c r="P465" i="22"/>
  <c r="P474" i="22" s="1"/>
  <c r="P515" i="22" s="1"/>
  <c r="AF58" i="41" s="1"/>
  <c r="P349" i="22"/>
  <c r="P358" i="22" s="1"/>
  <c r="P511" i="22" s="1"/>
  <c r="AB58" i="41" s="1"/>
  <c r="P407" i="22"/>
  <c r="P416" i="22" s="1"/>
  <c r="P513" i="22" s="1"/>
  <c r="AD58" i="41" s="1"/>
  <c r="K348" i="22"/>
  <c r="K357" i="22" s="1"/>
  <c r="K505" i="22" s="1"/>
  <c r="K57" i="41" s="1"/>
  <c r="K70" i="65"/>
  <c r="K88" i="65" s="1"/>
  <c r="U81" i="65"/>
  <c r="V81" i="65"/>
  <c r="S81" i="65"/>
  <c r="T81" i="65"/>
  <c r="R81" i="65"/>
  <c r="AB80" i="65"/>
  <c r="AD80" i="65"/>
  <c r="AC80" i="65"/>
  <c r="AF80" i="65"/>
  <c r="AE80" i="65"/>
  <c r="J379" i="22"/>
  <c r="J388" i="22" s="1"/>
  <c r="J518" i="22" s="1"/>
  <c r="J59" i="41" s="1"/>
  <c r="J72" i="65"/>
  <c r="J90" i="65" s="1"/>
  <c r="AD81" i="65"/>
  <c r="AE81" i="65"/>
  <c r="AC81" i="65"/>
  <c r="AB81" i="65"/>
  <c r="AF81" i="65"/>
  <c r="Q70" i="65"/>
  <c r="AG88" i="65" s="1"/>
  <c r="Q377" i="22"/>
  <c r="Q386" i="22" s="1"/>
  <c r="Q506" i="22" s="1"/>
  <c r="AG57" i="41" s="1"/>
  <c r="M345" i="22"/>
  <c r="M354" i="22" s="1"/>
  <c r="M487" i="22" s="1"/>
  <c r="Q54" i="41" s="1"/>
  <c r="M67" i="65"/>
  <c r="Q85" i="65" s="1"/>
  <c r="L57" i="80"/>
  <c r="L32" i="53"/>
  <c r="N464" i="22"/>
  <c r="N473" i="22" s="1"/>
  <c r="N509" i="22" s="1"/>
  <c r="V57" i="41" s="1"/>
  <c r="N435" i="22"/>
  <c r="N444" i="22" s="1"/>
  <c r="N508" i="22" s="1"/>
  <c r="U57" i="41" s="1"/>
  <c r="N348" i="22"/>
  <c r="N357" i="22" s="1"/>
  <c r="N505" i="22" s="1"/>
  <c r="R57" i="41" s="1"/>
  <c r="N406" i="22"/>
  <c r="N415" i="22" s="1"/>
  <c r="N507" i="22" s="1"/>
  <c r="T57" i="41" s="1"/>
  <c r="N70" i="65"/>
  <c r="N377" i="22"/>
  <c r="N386" i="22" s="1"/>
  <c r="N506" i="22" s="1"/>
  <c r="S57" i="41" s="1"/>
  <c r="M344" i="22"/>
  <c r="M353" i="22" s="1"/>
  <c r="M481" i="22" s="1"/>
  <c r="Q53" i="41" s="1"/>
  <c r="M66" i="65"/>
  <c r="Q84" i="65" s="1"/>
  <c r="J57" i="80"/>
  <c r="J32" i="53"/>
  <c r="M31" i="53"/>
  <c r="M56" i="80"/>
  <c r="O72" i="65"/>
  <c r="O379" i="22"/>
  <c r="O388" i="22" s="1"/>
  <c r="O518" i="22" s="1"/>
  <c r="X59" i="41" s="1"/>
  <c r="O466" i="22"/>
  <c r="O475" i="22" s="1"/>
  <c r="O521" i="22" s="1"/>
  <c r="AA59" i="41" s="1"/>
  <c r="O437" i="22"/>
  <c r="O446" i="22" s="1"/>
  <c r="O520" i="22" s="1"/>
  <c r="Z59" i="41" s="1"/>
  <c r="O408" i="22"/>
  <c r="O417" i="22" s="1"/>
  <c r="O519" i="22" s="1"/>
  <c r="Y59" i="41" s="1"/>
  <c r="O350" i="22"/>
  <c r="O359" i="22" s="1"/>
  <c r="O517" i="22" s="1"/>
  <c r="W59" i="41" s="1"/>
  <c r="AA80" i="65"/>
  <c r="X80" i="65"/>
  <c r="W80" i="65"/>
  <c r="Y80" i="65"/>
  <c r="Z80" i="65"/>
  <c r="M347" i="22"/>
  <c r="M356" i="22" s="1"/>
  <c r="M499" i="22" s="1"/>
  <c r="Q56" i="41" s="1"/>
  <c r="M69" i="65"/>
  <c r="Q87" i="65" s="1"/>
  <c r="AB79" i="65"/>
  <c r="AC79" i="65"/>
  <c r="AD79" i="65"/>
  <c r="AF79" i="65"/>
  <c r="AE79" i="65"/>
  <c r="O348" i="22"/>
  <c r="O357" i="22" s="1"/>
  <c r="O505" i="22" s="1"/>
  <c r="W57" i="41" s="1"/>
  <c r="O435" i="22"/>
  <c r="O444" i="22" s="1"/>
  <c r="O508" i="22" s="1"/>
  <c r="Z57" i="41" s="1"/>
  <c r="O70" i="65"/>
  <c r="O464" i="22"/>
  <c r="O473" i="22" s="1"/>
  <c r="O509" i="22" s="1"/>
  <c r="AA57" i="41" s="1"/>
  <c r="O377" i="22"/>
  <c r="O386" i="22" s="1"/>
  <c r="O506" i="22" s="1"/>
  <c r="X57" i="41" s="1"/>
  <c r="O406" i="22"/>
  <c r="O415" i="22" s="1"/>
  <c r="O507" i="22" s="1"/>
  <c r="Y57" i="41" s="1"/>
  <c r="J33" i="53"/>
  <c r="J58" i="80"/>
  <c r="J264" i="22"/>
  <c r="J17" i="111" s="1"/>
  <c r="L58" i="80"/>
  <c r="L33" i="53"/>
  <c r="L264" i="22"/>
  <c r="L17" i="111" s="1"/>
  <c r="L376" i="22"/>
  <c r="L385" i="22" s="1"/>
  <c r="L500" i="22" s="1"/>
  <c r="M56" i="41" s="1"/>
  <c r="L347" i="22"/>
  <c r="L356" i="22" s="1"/>
  <c r="L499" i="22" s="1"/>
  <c r="L56" i="41" s="1"/>
  <c r="L405" i="22"/>
  <c r="L414" i="22" s="1"/>
  <c r="L501" i="22" s="1"/>
  <c r="N56" i="41" s="1"/>
  <c r="L69" i="65"/>
  <c r="L434" i="22"/>
  <c r="L443" i="22" s="1"/>
  <c r="L502" i="22" s="1"/>
  <c r="O56" i="41" s="1"/>
  <c r="L463" i="22"/>
  <c r="L472" i="22" s="1"/>
  <c r="L503" i="22" s="1"/>
  <c r="P56" i="41" s="1"/>
  <c r="K31" i="53"/>
  <c r="K56" i="80"/>
  <c r="N56" i="80"/>
  <c r="N31" i="53"/>
  <c r="Q31" i="53"/>
  <c r="Q56" i="80"/>
  <c r="N69" i="65"/>
  <c r="N463" i="22"/>
  <c r="N472" i="22" s="1"/>
  <c r="N503" i="22" s="1"/>
  <c r="V56" i="41" s="1"/>
  <c r="N376" i="22"/>
  <c r="N385" i="22" s="1"/>
  <c r="N500" i="22" s="1"/>
  <c r="S56" i="41" s="1"/>
  <c r="N347" i="22"/>
  <c r="N356" i="22" s="1"/>
  <c r="N499" i="22" s="1"/>
  <c r="R56" i="41" s="1"/>
  <c r="N405" i="22"/>
  <c r="N414" i="22" s="1"/>
  <c r="N501" i="22" s="1"/>
  <c r="T56" i="41" s="1"/>
  <c r="N434" i="22"/>
  <c r="N443" i="22" s="1"/>
  <c r="N502" i="22" s="1"/>
  <c r="U56" i="41" s="1"/>
  <c r="N375" i="22"/>
  <c r="N384" i="22" s="1"/>
  <c r="N494" i="22" s="1"/>
  <c r="S55" i="41" s="1"/>
  <c r="N462" i="22"/>
  <c r="N471" i="22" s="1"/>
  <c r="N497" i="22" s="1"/>
  <c r="V55" i="41" s="1"/>
  <c r="N346" i="22"/>
  <c r="N355" i="22" s="1"/>
  <c r="N493" i="22" s="1"/>
  <c r="R55" i="41" s="1"/>
  <c r="N68" i="65"/>
  <c r="N404" i="22"/>
  <c r="N413" i="22" s="1"/>
  <c r="N495" i="22" s="1"/>
  <c r="T55" i="41" s="1"/>
  <c r="N433" i="22"/>
  <c r="N442" i="22" s="1"/>
  <c r="N496" i="22" s="1"/>
  <c r="U55" i="41" s="1"/>
  <c r="Q239" i="80" l="1"/>
  <c r="Q240" i="80"/>
  <c r="J241" i="80"/>
  <c r="Q244" i="80"/>
  <c r="K34" i="53"/>
  <c r="J244" i="80"/>
  <c r="Q202" i="80"/>
  <c r="J245" i="80"/>
  <c r="M252" i="80"/>
  <c r="J246" i="80"/>
  <c r="M241" i="80"/>
  <c r="M243" i="80"/>
  <c r="M260" i="80"/>
  <c r="J239" i="80"/>
  <c r="M242" i="80"/>
  <c r="M239" i="80"/>
  <c r="M244" i="80"/>
  <c r="J243" i="80"/>
  <c r="J240" i="80"/>
  <c r="M258" i="80"/>
  <c r="M246" i="80"/>
  <c r="J242" i="80"/>
  <c r="M253" i="80"/>
  <c r="M202" i="80"/>
  <c r="M206" i="80" s="1"/>
  <c r="M256" i="80"/>
  <c r="K260" i="80"/>
  <c r="K246" i="80"/>
  <c r="K256" i="80"/>
  <c r="K252" i="80"/>
  <c r="K242" i="80"/>
  <c r="K245" i="80"/>
  <c r="K255" i="80"/>
  <c r="K239" i="80"/>
  <c r="K243" i="80"/>
  <c r="K253" i="80"/>
  <c r="K202" i="80"/>
  <c r="K206" i="80" s="1"/>
  <c r="K254" i="80"/>
  <c r="K241" i="80"/>
  <c r="M240" i="80"/>
  <c r="M257" i="80"/>
  <c r="M255" i="80"/>
  <c r="P244" i="80"/>
  <c r="P243" i="80"/>
  <c r="P245" i="80"/>
  <c r="P239" i="80"/>
  <c r="P246" i="80"/>
  <c r="P241" i="80"/>
  <c r="P242" i="80"/>
  <c r="N244" i="80"/>
  <c r="N240" i="80"/>
  <c r="O254" i="80"/>
  <c r="O202" i="80"/>
  <c r="O252" i="80"/>
  <c r="O246" i="80"/>
  <c r="O256" i="80"/>
  <c r="M34" i="53"/>
  <c r="M69" i="53" s="1"/>
  <c r="O259" i="80"/>
  <c r="Q34" i="53"/>
  <c r="Q49" i="53" s="1"/>
  <c r="O260" i="80"/>
  <c r="O255" i="80"/>
  <c r="O245" i="80"/>
  <c r="O253" i="80"/>
  <c r="O257" i="80"/>
  <c r="O258" i="80"/>
  <c r="O244" i="80"/>
  <c r="O239" i="80"/>
  <c r="O241" i="80"/>
  <c r="N241" i="80"/>
  <c r="N245" i="80"/>
  <c r="N252" i="80"/>
  <c r="N202" i="80"/>
  <c r="N206" i="80" s="1"/>
  <c r="N257" i="80"/>
  <c r="N242" i="80"/>
  <c r="N246" i="80"/>
  <c r="O243" i="80"/>
  <c r="N258" i="80"/>
  <c r="N253" i="80"/>
  <c r="N243" i="80"/>
  <c r="O240" i="80"/>
  <c r="N256" i="80"/>
  <c r="N239" i="80"/>
  <c r="N259" i="80"/>
  <c r="N254" i="80"/>
  <c r="N260" i="80"/>
  <c r="P240" i="80"/>
  <c r="U165" i="41"/>
  <c r="U167" i="41" s="1"/>
  <c r="U175" i="41" s="1"/>
  <c r="X154" i="41"/>
  <c r="X165" i="41"/>
  <c r="X167" i="41" s="1"/>
  <c r="X175" i="41" s="1"/>
  <c r="S165" i="41"/>
  <c r="S167" i="41" s="1"/>
  <c r="S175" i="41" s="1"/>
  <c r="AA165" i="41"/>
  <c r="AA167" i="41" s="1"/>
  <c r="AA175" i="41" s="1"/>
  <c r="AE165" i="41"/>
  <c r="AE167" i="41" s="1"/>
  <c r="AE175" i="41" s="1"/>
  <c r="Z118" i="41"/>
  <c r="Z130" i="41" s="1"/>
  <c r="U154" i="41"/>
  <c r="Z116" i="41"/>
  <c r="Z128" i="41" s="1"/>
  <c r="AA118" i="41"/>
  <c r="AA130" i="41" s="1"/>
  <c r="U118" i="41"/>
  <c r="U130" i="41" s="1"/>
  <c r="U116" i="41"/>
  <c r="U128" i="41" s="1"/>
  <c r="Z119" i="41"/>
  <c r="Z131" i="41" s="1"/>
  <c r="Z115" i="41"/>
  <c r="Z127" i="41" s="1"/>
  <c r="U115" i="41"/>
  <c r="U127" i="41" s="1"/>
  <c r="AA119" i="41"/>
  <c r="AA131" i="41" s="1"/>
  <c r="V118" i="41"/>
  <c r="V130" i="41" s="1"/>
  <c r="U119" i="41"/>
  <c r="U131" i="41" s="1"/>
  <c r="V119" i="41"/>
  <c r="V131" i="41" s="1"/>
  <c r="AC154" i="41"/>
  <c r="AC117" i="41"/>
  <c r="AC129" i="41" s="1"/>
  <c r="AD122" i="41"/>
  <c r="AD134" i="41" s="1"/>
  <c r="AC115" i="41"/>
  <c r="AC127" i="41" s="1"/>
  <c r="AD119" i="41"/>
  <c r="AD131" i="41" s="1"/>
  <c r="AD120" i="41"/>
  <c r="AD132" i="41" s="1"/>
  <c r="AC121" i="41"/>
  <c r="AC133" i="41" s="1"/>
  <c r="AC120" i="41"/>
  <c r="AC132" i="41" s="1"/>
  <c r="AE122" i="41"/>
  <c r="AE134" i="41" s="1"/>
  <c r="AC122" i="41"/>
  <c r="AC134" i="41" s="1"/>
  <c r="AC119" i="41"/>
  <c r="AC131" i="41" s="1"/>
  <c r="AC116" i="41"/>
  <c r="AC128" i="41" s="1"/>
  <c r="AC118" i="41"/>
  <c r="AC130" i="41" s="1"/>
  <c r="AF122" i="41"/>
  <c r="AF134" i="41" s="1"/>
  <c r="AE120" i="41"/>
  <c r="AE132" i="41" s="1"/>
  <c r="AD116" i="41"/>
  <c r="AD128" i="41" s="1"/>
  <c r="Z165" i="41"/>
  <c r="Z167" i="41" s="1"/>
  <c r="Z175" i="41" s="1"/>
  <c r="AC165" i="41"/>
  <c r="AC167" i="41" s="1"/>
  <c r="AC175" i="41" s="1"/>
  <c r="Z122" i="41"/>
  <c r="Z134" i="41" s="1"/>
  <c r="S154" i="41"/>
  <c r="Y116" i="41"/>
  <c r="Y128" i="41" s="1"/>
  <c r="U122" i="41"/>
  <c r="U134" i="41" s="1"/>
  <c r="S118" i="41"/>
  <c r="S130" i="41" s="1"/>
  <c r="AA122" i="41"/>
  <c r="AA134" i="41" s="1"/>
  <c r="X116" i="41"/>
  <c r="X128" i="41" s="1"/>
  <c r="U120" i="41"/>
  <c r="U132" i="41" s="1"/>
  <c r="S119" i="41"/>
  <c r="S131" i="41" s="1"/>
  <c r="S117" i="41"/>
  <c r="S129" i="41" s="1"/>
  <c r="S116" i="41"/>
  <c r="S128" i="41" s="1"/>
  <c r="S121" i="41"/>
  <c r="S133" i="41" s="1"/>
  <c r="V122" i="41"/>
  <c r="V134" i="41" s="1"/>
  <c r="X119" i="41"/>
  <c r="X131" i="41" s="1"/>
  <c r="S120" i="41"/>
  <c r="S132" i="41" s="1"/>
  <c r="Z120" i="41"/>
  <c r="Z132" i="41" s="1"/>
  <c r="T119" i="41"/>
  <c r="T131" i="41" s="1"/>
  <c r="T116" i="41"/>
  <c r="T128" i="41" s="1"/>
  <c r="X121" i="41"/>
  <c r="X133" i="41" s="1"/>
  <c r="S122" i="41"/>
  <c r="S134" i="41" s="1"/>
  <c r="S115" i="41"/>
  <c r="S127" i="41" s="1"/>
  <c r="T120" i="41"/>
  <c r="T132" i="41" s="1"/>
  <c r="Y119" i="41"/>
  <c r="Y131" i="41" s="1"/>
  <c r="X120" i="41"/>
  <c r="X132" i="41" s="1"/>
  <c r="X115" i="41"/>
  <c r="X127" i="41" s="1"/>
  <c r="Y120" i="41"/>
  <c r="Y132" i="41" s="1"/>
  <c r="X117" i="41"/>
  <c r="X129" i="41" s="1"/>
  <c r="X122" i="41"/>
  <c r="X134" i="41" s="1"/>
  <c r="Y122" i="41"/>
  <c r="Y134" i="41" s="1"/>
  <c r="T122" i="41"/>
  <c r="T134" i="41" s="1"/>
  <c r="X118" i="41"/>
  <c r="X130" i="41" s="1"/>
  <c r="AA120" i="41"/>
  <c r="AA132" i="41" s="1"/>
  <c r="V154" i="41"/>
  <c r="V117" i="41"/>
  <c r="V129" i="41" s="1"/>
  <c r="V116" i="41"/>
  <c r="V128" i="41" s="1"/>
  <c r="V120" i="41"/>
  <c r="V132" i="41" s="1"/>
  <c r="AA116" i="41"/>
  <c r="AA128" i="41" s="1"/>
  <c r="AA117" i="41"/>
  <c r="AA129" i="41" s="1"/>
  <c r="AA115" i="41"/>
  <c r="AA127" i="41" s="1"/>
  <c r="V115" i="41"/>
  <c r="V127" i="41" s="1"/>
  <c r="Q165" i="41"/>
  <c r="AD154" i="41"/>
  <c r="AD115" i="41"/>
  <c r="AD127" i="41" s="1"/>
  <c r="AF121" i="41"/>
  <c r="AF133" i="41" s="1"/>
  <c r="AD117" i="41"/>
  <c r="AD129" i="41" s="1"/>
  <c r="AE121" i="41"/>
  <c r="AE133" i="41" s="1"/>
  <c r="AD121" i="41"/>
  <c r="AD133" i="41" s="1"/>
  <c r="AE117" i="41"/>
  <c r="AE129" i="41" s="1"/>
  <c r="AD118" i="41"/>
  <c r="AD130" i="41" s="1"/>
  <c r="V165" i="41"/>
  <c r="V167" i="41" s="1"/>
  <c r="V175" i="41" s="1"/>
  <c r="AG116" i="41"/>
  <c r="AG128" i="41" s="1"/>
  <c r="AG154" i="41"/>
  <c r="AG121" i="41"/>
  <c r="AG133" i="41" s="1"/>
  <c r="AG120" i="41"/>
  <c r="AG132" i="41" s="1"/>
  <c r="AG117" i="41"/>
  <c r="AG129" i="41" s="1"/>
  <c r="AG119" i="41"/>
  <c r="AG131" i="41" s="1"/>
  <c r="AG122" i="41"/>
  <c r="AG134" i="41" s="1"/>
  <c r="AG115" i="41"/>
  <c r="AG127" i="41" s="1"/>
  <c r="AG118" i="41"/>
  <c r="AG130" i="41" s="1"/>
  <c r="AE118" i="41"/>
  <c r="AE130" i="41" s="1"/>
  <c r="AE154" i="41"/>
  <c r="AE115" i="41"/>
  <c r="AE127" i="41" s="1"/>
  <c r="AF118" i="41"/>
  <c r="AF130" i="41" s="1"/>
  <c r="AE119" i="41"/>
  <c r="AE131" i="41" s="1"/>
  <c r="AE116" i="41"/>
  <c r="AE128" i="41" s="1"/>
  <c r="AF119" i="41"/>
  <c r="AF131" i="41" s="1"/>
  <c r="W165" i="41"/>
  <c r="T165" i="41"/>
  <c r="T167" i="41" s="1"/>
  <c r="T175" i="41" s="1"/>
  <c r="Z154" i="41"/>
  <c r="Y165" i="41"/>
  <c r="Y167" i="41" s="1"/>
  <c r="Y175" i="41" s="1"/>
  <c r="R165" i="41"/>
  <c r="J59" i="80"/>
  <c r="J200" i="80" s="1"/>
  <c r="M85" i="65"/>
  <c r="L85" i="65"/>
  <c r="P85" i="65"/>
  <c r="O85" i="65"/>
  <c r="N85" i="65"/>
  <c r="AB165" i="41"/>
  <c r="AB88" i="65"/>
  <c r="AE88" i="65"/>
  <c r="AD88" i="65"/>
  <c r="AC88" i="65"/>
  <c r="AF88" i="65"/>
  <c r="T117" i="41"/>
  <c r="T129" i="41" s="1"/>
  <c r="V121" i="41"/>
  <c r="V133" i="41" s="1"/>
  <c r="Z117" i="41"/>
  <c r="Z129" i="41" s="1"/>
  <c r="Y115" i="41"/>
  <c r="Y127" i="41" s="1"/>
  <c r="Y117" i="41"/>
  <c r="Y129" i="41" s="1"/>
  <c r="T154" i="41"/>
  <c r="T121" i="41"/>
  <c r="T133" i="41" s="1"/>
  <c r="T118" i="41"/>
  <c r="T130" i="41" s="1"/>
  <c r="Z121" i="41"/>
  <c r="Z133" i="41" s="1"/>
  <c r="U117" i="41"/>
  <c r="U129" i="41" s="1"/>
  <c r="Y121" i="41"/>
  <c r="Y133" i="41" s="1"/>
  <c r="AA121" i="41"/>
  <c r="AA133" i="41" s="1"/>
  <c r="Y118" i="41"/>
  <c r="Y130" i="41" s="1"/>
  <c r="T115" i="41"/>
  <c r="T127" i="41" s="1"/>
  <c r="U121" i="41"/>
  <c r="U133" i="41" s="1"/>
  <c r="J34" i="53"/>
  <c r="K42" i="53" s="1"/>
  <c r="K48" i="53" s="1"/>
  <c r="K54" i="53" s="1"/>
  <c r="O28" i="111"/>
  <c r="O34" i="111" s="1"/>
  <c r="O27" i="111"/>
  <c r="O33" i="111" s="1"/>
  <c r="H693" i="22" a="1"/>
  <c r="H693" i="22" s="1"/>
  <c r="P28" i="111"/>
  <c r="P34" i="111" s="1"/>
  <c r="P27" i="111"/>
  <c r="P33" i="111" s="1"/>
  <c r="R90" i="65"/>
  <c r="U90" i="65"/>
  <c r="V90" i="65"/>
  <c r="S90" i="65"/>
  <c r="T90" i="65"/>
  <c r="O86" i="65"/>
  <c r="N86" i="65"/>
  <c r="M86" i="65"/>
  <c r="P86" i="65"/>
  <c r="L86" i="65"/>
  <c r="X84" i="65"/>
  <c r="Y84" i="65"/>
  <c r="Z84" i="65"/>
  <c r="W84" i="65"/>
  <c r="AA84" i="65"/>
  <c r="AF86" i="65"/>
  <c r="AB86" i="65"/>
  <c r="AC86" i="65"/>
  <c r="AD86" i="65"/>
  <c r="AE86" i="65"/>
  <c r="O154" i="41"/>
  <c r="O118" i="41"/>
  <c r="O130" i="41" s="1"/>
  <c r="P119" i="41"/>
  <c r="P131" i="41" s="1"/>
  <c r="O116" i="41"/>
  <c r="O128" i="41" s="1"/>
  <c r="P118" i="41"/>
  <c r="P130" i="41" s="1"/>
  <c r="O115" i="41"/>
  <c r="O127" i="41" s="1"/>
  <c r="O119" i="41"/>
  <c r="O131" i="41" s="1"/>
  <c r="P34" i="53"/>
  <c r="P44" i="53" s="1"/>
  <c r="P50" i="53" s="1"/>
  <c r="N165" i="41"/>
  <c r="N167" i="41" s="1"/>
  <c r="J27" i="111"/>
  <c r="J33" i="111" s="1"/>
  <c r="J28" i="111"/>
  <c r="J34" i="111" s="1"/>
  <c r="M27" i="111"/>
  <c r="M33" i="111" s="1"/>
  <c r="M28" i="111"/>
  <c r="M34" i="111" s="1"/>
  <c r="O34" i="53"/>
  <c r="T87" i="65"/>
  <c r="S87" i="65"/>
  <c r="R87" i="65"/>
  <c r="U87" i="65"/>
  <c r="V87" i="65"/>
  <c r="J165" i="41"/>
  <c r="J167" i="41" s="1"/>
  <c r="N34" i="53"/>
  <c r="N44" i="53" s="1"/>
  <c r="N50" i="53" s="1"/>
  <c r="L87" i="65"/>
  <c r="O87" i="65"/>
  <c r="M87" i="65"/>
  <c r="P87" i="65"/>
  <c r="N87" i="65"/>
  <c r="Z90" i="65"/>
  <c r="W90" i="65"/>
  <c r="Y90" i="65"/>
  <c r="AA90" i="65"/>
  <c r="X90" i="65"/>
  <c r="O84" i="65"/>
  <c r="M84" i="65"/>
  <c r="L84" i="65"/>
  <c r="P84" i="65"/>
  <c r="N84" i="65"/>
  <c r="L27" i="111"/>
  <c r="L33" i="111" s="1"/>
  <c r="L28" i="111"/>
  <c r="L34" i="111" s="1"/>
  <c r="Y129" i="74"/>
  <c r="T129" i="74"/>
  <c r="V129" i="74"/>
  <c r="Q129" i="74"/>
  <c r="M129" i="74"/>
  <c r="W129" i="74"/>
  <c r="S129" i="74"/>
  <c r="P129" i="74"/>
  <c r="N129" i="74"/>
  <c r="R129" i="74"/>
  <c r="K129" i="74"/>
  <c r="X129" i="74"/>
  <c r="O129" i="74"/>
  <c r="U129" i="74"/>
  <c r="L90" i="65"/>
  <c r="P90" i="65"/>
  <c r="O90" i="65"/>
  <c r="M90" i="65"/>
  <c r="N90" i="65"/>
  <c r="O59" i="80"/>
  <c r="O200" i="80" s="1"/>
  <c r="K69" i="53"/>
  <c r="K71" i="53"/>
  <c r="K73" i="53" s="1"/>
  <c r="J129" i="74"/>
  <c r="L129" i="74"/>
  <c r="N59" i="80"/>
  <c r="N200" i="80" s="1"/>
  <c r="N154" i="41"/>
  <c r="N115" i="41"/>
  <c r="N127" i="41" s="1"/>
  <c r="O117" i="41"/>
  <c r="O129" i="41" s="1"/>
  <c r="P121" i="41"/>
  <c r="P133" i="41" s="1"/>
  <c r="N117" i="41"/>
  <c r="N129" i="41" s="1"/>
  <c r="N118" i="41"/>
  <c r="N130" i="41" s="1"/>
  <c r="N121" i="41"/>
  <c r="N133" i="41" s="1"/>
  <c r="O121" i="41"/>
  <c r="O133" i="41" s="1"/>
  <c r="W88" i="65"/>
  <c r="Y88" i="65"/>
  <c r="AA88" i="65"/>
  <c r="X88" i="65"/>
  <c r="Z88" i="65"/>
  <c r="O165" i="41"/>
  <c r="O167" i="41" s="1"/>
  <c r="AD165" i="41"/>
  <c r="AD167" i="41" s="1"/>
  <c r="AD175" i="41" s="1"/>
  <c r="X86" i="65"/>
  <c r="AA86" i="65"/>
  <c r="W86" i="65"/>
  <c r="Y86" i="65"/>
  <c r="Z86" i="65"/>
  <c r="AE87" i="65"/>
  <c r="AF87" i="65"/>
  <c r="AB87" i="65"/>
  <c r="AD87" i="65"/>
  <c r="AC87" i="65"/>
  <c r="AF165" i="41"/>
  <c r="AF167" i="41" s="1"/>
  <c r="AF175" i="41" s="1"/>
  <c r="N88" i="65"/>
  <c r="P88" i="65"/>
  <c r="O88" i="65"/>
  <c r="M88" i="65"/>
  <c r="L88" i="65"/>
  <c r="K28" i="111"/>
  <c r="K34" i="111" s="1"/>
  <c r="K27" i="111"/>
  <c r="K33" i="111" s="1"/>
  <c r="N27" i="111"/>
  <c r="N33" i="111" s="1"/>
  <c r="N28" i="111"/>
  <c r="N34" i="111" s="1"/>
  <c r="R89" i="65"/>
  <c r="S89" i="65"/>
  <c r="T89" i="65"/>
  <c r="V89" i="65"/>
  <c r="U89" i="65"/>
  <c r="K59" i="80"/>
  <c r="K200" i="80" s="1"/>
  <c r="K20" i="74" s="1"/>
  <c r="N89" i="65"/>
  <c r="P89" i="65"/>
  <c r="L89" i="65"/>
  <c r="O89" i="65"/>
  <c r="M89" i="65"/>
  <c r="J119" i="41"/>
  <c r="J131" i="41" s="1"/>
  <c r="J154" i="41"/>
  <c r="J121" i="41"/>
  <c r="J133" i="41" s="1"/>
  <c r="J120" i="41"/>
  <c r="J132" i="41" s="1"/>
  <c r="J117" i="41"/>
  <c r="J129" i="41" s="1"/>
  <c r="J116" i="41"/>
  <c r="J128" i="41" s="1"/>
  <c r="J122" i="41"/>
  <c r="J134" i="41" s="1"/>
  <c r="J118" i="41"/>
  <c r="J130" i="41" s="1"/>
  <c r="J115" i="41"/>
  <c r="J127" i="41" s="1"/>
  <c r="P154" i="41"/>
  <c r="P115" i="41"/>
  <c r="P127" i="41" s="1"/>
  <c r="P116" i="41"/>
  <c r="P128" i="41" s="1"/>
  <c r="P120" i="41"/>
  <c r="P132" i="41" s="1"/>
  <c r="P117" i="41"/>
  <c r="P129" i="41" s="1"/>
  <c r="L165" i="41"/>
  <c r="AB84" i="65"/>
  <c r="AF84" i="65"/>
  <c r="AC84" i="65"/>
  <c r="AE84" i="65"/>
  <c r="AD84" i="65"/>
  <c r="M59" i="80"/>
  <c r="M200" i="80" s="1"/>
  <c r="M20" i="74" s="1"/>
  <c r="S84" i="65"/>
  <c r="R84" i="65"/>
  <c r="V84" i="65"/>
  <c r="U84" i="65"/>
  <c r="T84" i="65"/>
  <c r="P165" i="41"/>
  <c r="P167" i="41" s="1"/>
  <c r="AE90" i="65"/>
  <c r="AF90" i="65"/>
  <c r="AD90" i="65"/>
  <c r="AC90" i="65"/>
  <c r="AB90" i="65"/>
  <c r="K165" i="41"/>
  <c r="J173" i="41" s="1"/>
  <c r="U85" i="65"/>
  <c r="R85" i="65"/>
  <c r="S85" i="65"/>
  <c r="T85" i="65"/>
  <c r="V85" i="65"/>
  <c r="L34" i="53"/>
  <c r="Q59" i="80"/>
  <c r="Q200" i="80" s="1"/>
  <c r="P59" i="80"/>
  <c r="P200" i="80" s="1"/>
  <c r="P257" i="80" s="1"/>
  <c r="AA154" i="41"/>
  <c r="S86" i="65"/>
  <c r="V86" i="65"/>
  <c r="U86" i="65"/>
  <c r="R86" i="65"/>
  <c r="T86" i="65"/>
  <c r="Y154" i="41"/>
  <c r="M117" i="41"/>
  <c r="M129" i="41" s="1"/>
  <c r="M154" i="41"/>
  <c r="M116" i="41"/>
  <c r="M128" i="41" s="1"/>
  <c r="M121" i="41"/>
  <c r="M133" i="41" s="1"/>
  <c r="M120" i="41"/>
  <c r="M132" i="41" s="1"/>
  <c r="N120" i="41"/>
  <c r="N132" i="41" s="1"/>
  <c r="P122" i="41"/>
  <c r="P134" i="41" s="1"/>
  <c r="M118" i="41"/>
  <c r="M130" i="41" s="1"/>
  <c r="O120" i="41"/>
  <c r="O132" i="41" s="1"/>
  <c r="O122" i="41"/>
  <c r="O134" i="41" s="1"/>
  <c r="M115" i="41"/>
  <c r="M127" i="41" s="1"/>
  <c r="M119" i="41"/>
  <c r="M131" i="41" s="1"/>
  <c r="M122" i="41"/>
  <c r="M134" i="41" s="1"/>
  <c r="N122" i="41"/>
  <c r="N134" i="41" s="1"/>
  <c r="N119" i="41"/>
  <c r="N131" i="41" s="1"/>
  <c r="N116" i="41"/>
  <c r="N128" i="41" s="1"/>
  <c r="U88" i="65"/>
  <c r="S88" i="65"/>
  <c r="T88" i="65"/>
  <c r="R88" i="65"/>
  <c r="V88" i="65"/>
  <c r="AB89" i="65"/>
  <c r="AC89" i="65"/>
  <c r="AF89" i="65"/>
  <c r="AD89" i="65"/>
  <c r="AE89" i="65"/>
  <c r="Z85" i="65"/>
  <c r="W85" i="65"/>
  <c r="Y85" i="65"/>
  <c r="X85" i="65"/>
  <c r="AA85" i="65"/>
  <c r="AA87" i="65"/>
  <c r="Z87" i="65"/>
  <c r="X87" i="65"/>
  <c r="Y87" i="65"/>
  <c r="W87" i="65"/>
  <c r="M165" i="41"/>
  <c r="M167" i="41" s="1"/>
  <c r="AA89" i="65"/>
  <c r="W89" i="65"/>
  <c r="Z89" i="65"/>
  <c r="Y89" i="65"/>
  <c r="X89" i="65"/>
  <c r="AG165" i="41"/>
  <c r="AG167" i="41" s="1"/>
  <c r="AG175" i="41" s="1"/>
  <c r="AF115" i="41"/>
  <c r="AF127" i="41" s="1"/>
  <c r="AF154" i="41"/>
  <c r="AF120" i="41"/>
  <c r="AF132" i="41" s="1"/>
  <c r="AF116" i="41"/>
  <c r="AF128" i="41" s="1"/>
  <c r="AF117" i="41"/>
  <c r="AF129" i="41" s="1"/>
  <c r="AE85" i="65"/>
  <c r="AC85" i="65"/>
  <c r="AF85" i="65"/>
  <c r="AB85" i="65"/>
  <c r="AD85" i="65"/>
  <c r="Q27" i="111"/>
  <c r="Q33" i="111" s="1"/>
  <c r="Q28" i="111"/>
  <c r="Q34" i="111" s="1"/>
  <c r="L59" i="80"/>
  <c r="L200" i="80" s="1"/>
  <c r="J44" i="53" l="1"/>
  <c r="J50" i="53" s="1"/>
  <c r="P253" i="80"/>
  <c r="P252" i="80"/>
  <c r="P256" i="80"/>
  <c r="P258" i="80"/>
  <c r="P255" i="80"/>
  <c r="P254" i="80"/>
  <c r="P259" i="80"/>
  <c r="M71" i="53"/>
  <c r="M73" i="53" s="1"/>
  <c r="L44" i="53"/>
  <c r="L50" i="53" s="1"/>
  <c r="K43" i="53"/>
  <c r="K49" i="53" s="1"/>
  <c r="J43" i="53"/>
  <c r="J49" i="53" s="1"/>
  <c r="P43" i="53"/>
  <c r="P49" i="53" s="1"/>
  <c r="N42" i="53"/>
  <c r="N48" i="53" s="1"/>
  <c r="N54" i="53" s="1"/>
  <c r="P42" i="53"/>
  <c r="P48" i="53" s="1"/>
  <c r="P54" i="53" s="1"/>
  <c r="Q48" i="53"/>
  <c r="Q54" i="53" s="1"/>
  <c r="Q93" i="53" s="1"/>
  <c r="Q284" i="53" s="1"/>
  <c r="Q50" i="53"/>
  <c r="J42" i="53"/>
  <c r="J48" i="53" s="1"/>
  <c r="J54" i="53" s="1"/>
  <c r="K44" i="53"/>
  <c r="K50" i="53" s="1"/>
  <c r="J175" i="41"/>
  <c r="L252" i="80"/>
  <c r="L258" i="80"/>
  <c r="L253" i="80"/>
  <c r="L255" i="80"/>
  <c r="L256" i="80"/>
  <c r="L254" i="80"/>
  <c r="L257" i="80"/>
  <c r="L259" i="80"/>
  <c r="Q253" i="80"/>
  <c r="Q256" i="80"/>
  <c r="Q258" i="80"/>
  <c r="Q259" i="80"/>
  <c r="Q257" i="80"/>
  <c r="Q252" i="80"/>
  <c r="Q254" i="80"/>
  <c r="Q255" i="80"/>
  <c r="H34" i="111"/>
  <c r="U74" i="81" s="1"/>
  <c r="U76" i="81" s="1"/>
  <c r="U108" i="81" s="1"/>
  <c r="T58" i="82" s="1"/>
  <c r="L42" i="53"/>
  <c r="L48" i="53" s="1"/>
  <c r="L54" i="53" s="1"/>
  <c r="H33" i="111"/>
  <c r="T74" i="81" s="1"/>
  <c r="T76" i="81" s="1"/>
  <c r="T108" i="81" s="1"/>
  <c r="S58" i="82" s="1"/>
  <c r="J253" i="80"/>
  <c r="J257" i="80"/>
  <c r="J252" i="80"/>
  <c r="J254" i="80"/>
  <c r="J259" i="80"/>
  <c r="J258" i="80"/>
  <c r="J255" i="80"/>
  <c r="J256" i="80"/>
  <c r="O133" i="74"/>
  <c r="O132" i="74"/>
  <c r="M133" i="74"/>
  <c r="M132" i="74"/>
  <c r="J204" i="80"/>
  <c r="J206" i="80" s="1"/>
  <c r="J20" i="74"/>
  <c r="P204" i="80"/>
  <c r="P206" i="80" s="1"/>
  <c r="P20" i="74"/>
  <c r="S133" i="74"/>
  <c r="S132" i="74"/>
  <c r="O71" i="53"/>
  <c r="O73" i="53" s="1"/>
  <c r="O79" i="53" s="1"/>
  <c r="O85" i="53" s="1"/>
  <c r="O69" i="53"/>
  <c r="AD137" i="41"/>
  <c r="Z137" i="41"/>
  <c r="P137" i="41"/>
  <c r="N137" i="41"/>
  <c r="Y137" i="41"/>
  <c r="U137" i="41"/>
  <c r="O137" i="41"/>
  <c r="J137" i="41"/>
  <c r="AC137" i="41"/>
  <c r="AA137" i="41"/>
  <c r="X137" i="41"/>
  <c r="AE137" i="41"/>
  <c r="S137" i="41"/>
  <c r="T137" i="41"/>
  <c r="AF137" i="41"/>
  <c r="V137" i="41"/>
  <c r="M137" i="41"/>
  <c r="AG137" i="41"/>
  <c r="J133" i="74"/>
  <c r="J132" i="74"/>
  <c r="W133" i="74"/>
  <c r="W132" i="74"/>
  <c r="U141" i="41"/>
  <c r="O141" i="41"/>
  <c r="AF141" i="41"/>
  <c r="Z141" i="41"/>
  <c r="J141" i="41"/>
  <c r="AC141" i="41"/>
  <c r="AE141" i="41"/>
  <c r="X141" i="41"/>
  <c r="T141" i="41"/>
  <c r="S141" i="41"/>
  <c r="Y141" i="41"/>
  <c r="P141" i="41"/>
  <c r="AG141" i="41"/>
  <c r="M141" i="41"/>
  <c r="N141" i="41"/>
  <c r="V141" i="41"/>
  <c r="AA141" i="41"/>
  <c r="AD141" i="41"/>
  <c r="M144" i="41"/>
  <c r="AE144" i="41"/>
  <c r="AF144" i="41"/>
  <c r="AD144" i="41"/>
  <c r="Y144" i="41"/>
  <c r="U144" i="41"/>
  <c r="Z144" i="41"/>
  <c r="J144" i="41"/>
  <c r="AC144" i="41"/>
  <c r="AG144" i="41"/>
  <c r="S144" i="41"/>
  <c r="X144" i="41"/>
  <c r="N144" i="41"/>
  <c r="O144" i="41"/>
  <c r="P144" i="41"/>
  <c r="V144" i="41"/>
  <c r="AA144" i="41"/>
  <c r="T144" i="41"/>
  <c r="X133" i="74"/>
  <c r="X132" i="74"/>
  <c r="Q133" i="74"/>
  <c r="Q132" i="74"/>
  <c r="P173" i="41"/>
  <c r="P175" i="41" s="1"/>
  <c r="M173" i="41"/>
  <c r="N173" i="41"/>
  <c r="N175" i="41" s="1"/>
  <c r="O173" i="41"/>
  <c r="O175" i="41" s="1"/>
  <c r="AD140" i="41"/>
  <c r="T140" i="41"/>
  <c r="O140" i="41"/>
  <c r="Z140" i="41"/>
  <c r="AA140" i="41"/>
  <c r="AC140" i="41"/>
  <c r="V140" i="41"/>
  <c r="P140" i="41"/>
  <c r="J140" i="41"/>
  <c r="M140" i="41"/>
  <c r="S140" i="41"/>
  <c r="AG140" i="41"/>
  <c r="U140" i="41"/>
  <c r="N140" i="41"/>
  <c r="AE140" i="41"/>
  <c r="Y140" i="41"/>
  <c r="AF140" i="41"/>
  <c r="X140" i="41"/>
  <c r="N138" i="41"/>
  <c r="Z138" i="41"/>
  <c r="P138" i="41"/>
  <c r="AF138" i="41"/>
  <c r="AG138" i="41"/>
  <c r="AC138" i="41"/>
  <c r="O138" i="41"/>
  <c r="S138" i="41"/>
  <c r="T138" i="41"/>
  <c r="X138" i="41"/>
  <c r="V138" i="41"/>
  <c r="M138" i="41"/>
  <c r="AE138" i="41"/>
  <c r="J138" i="41"/>
  <c r="Y138" i="41"/>
  <c r="AA138" i="41"/>
  <c r="AD138" i="41"/>
  <c r="U138" i="41"/>
  <c r="K133" i="74"/>
  <c r="K132" i="74"/>
  <c r="V133" i="74"/>
  <c r="V132" i="74"/>
  <c r="N71" i="53"/>
  <c r="N73" i="53" s="1"/>
  <c r="N79" i="53" s="1"/>
  <c r="N85" i="53" s="1"/>
  <c r="N69" i="53"/>
  <c r="P71" i="53"/>
  <c r="P73" i="53" s="1"/>
  <c r="P79" i="53" s="1"/>
  <c r="P85" i="53" s="1"/>
  <c r="P69" i="53"/>
  <c r="O43" i="53"/>
  <c r="O49" i="53" s="1"/>
  <c r="L71" i="53"/>
  <c r="L73" i="53" s="1"/>
  <c r="L69" i="53"/>
  <c r="U133" i="74"/>
  <c r="U132" i="74"/>
  <c r="M44" i="53"/>
  <c r="M50" i="53" s="1"/>
  <c r="O44" i="53"/>
  <c r="O50" i="53" s="1"/>
  <c r="L204" i="80"/>
  <c r="L206" i="80" s="1"/>
  <c r="L20" i="74"/>
  <c r="M175" i="41"/>
  <c r="AA139" i="41"/>
  <c r="AC139" i="41"/>
  <c r="AE139" i="41"/>
  <c r="T139" i="41"/>
  <c r="V139" i="41"/>
  <c r="O139" i="41"/>
  <c r="Z139" i="41"/>
  <c r="AF139" i="41"/>
  <c r="U139" i="41"/>
  <c r="S139" i="41"/>
  <c r="Y139" i="41"/>
  <c r="AD139" i="41"/>
  <c r="N139" i="41"/>
  <c r="P139" i="41"/>
  <c r="AG139" i="41"/>
  <c r="M139" i="41"/>
  <c r="X139" i="41"/>
  <c r="J139" i="41"/>
  <c r="K77" i="74"/>
  <c r="K74" i="74"/>
  <c r="K72" i="74"/>
  <c r="K78" i="74"/>
  <c r="K76" i="74"/>
  <c r="K73" i="74"/>
  <c r="K75" i="74"/>
  <c r="N204" i="80"/>
  <c r="N20" i="74"/>
  <c r="R133" i="74"/>
  <c r="R132" i="74"/>
  <c r="T133" i="74"/>
  <c r="T132" i="74"/>
  <c r="J46" i="55"/>
  <c r="A4" i="22"/>
  <c r="L133" i="74"/>
  <c r="L132" i="74"/>
  <c r="O20" i="74"/>
  <c r="O204" i="80"/>
  <c r="O206" i="80" s="1"/>
  <c r="Q20" i="74"/>
  <c r="Q204" i="80"/>
  <c r="Q206" i="80" s="1"/>
  <c r="M78" i="74"/>
  <c r="M76" i="74"/>
  <c r="M72" i="74"/>
  <c r="M74" i="74"/>
  <c r="M73" i="74"/>
  <c r="M75" i="74"/>
  <c r="M77" i="74"/>
  <c r="N142" i="41"/>
  <c r="AD142" i="41"/>
  <c r="AA142" i="41"/>
  <c r="Y142" i="41"/>
  <c r="V142" i="41"/>
  <c r="Z142" i="41"/>
  <c r="M142" i="41"/>
  <c r="X142" i="41"/>
  <c r="AC142" i="41"/>
  <c r="AF142" i="41"/>
  <c r="AE142" i="41"/>
  <c r="S142" i="41"/>
  <c r="P142" i="41"/>
  <c r="J142" i="41"/>
  <c r="U142" i="41"/>
  <c r="O142" i="41"/>
  <c r="T142" i="41"/>
  <c r="AG142" i="41"/>
  <c r="L43" i="53"/>
  <c r="L49" i="53" s="1"/>
  <c r="N133" i="74"/>
  <c r="N132" i="74"/>
  <c r="Y133" i="74"/>
  <c r="Y132" i="74"/>
  <c r="M42" i="53"/>
  <c r="M48" i="53" s="1"/>
  <c r="M54" i="53" s="1"/>
  <c r="Z143" i="41"/>
  <c r="T143" i="41"/>
  <c r="AA143" i="41"/>
  <c r="V143" i="41"/>
  <c r="AE143" i="41"/>
  <c r="X143" i="41"/>
  <c r="J143" i="41"/>
  <c r="AF143" i="41"/>
  <c r="N143" i="41"/>
  <c r="AC143" i="41"/>
  <c r="S143" i="41"/>
  <c r="P143" i="41"/>
  <c r="Y143" i="41"/>
  <c r="U143" i="41"/>
  <c r="O143" i="41"/>
  <c r="M143" i="41"/>
  <c r="AD143" i="41"/>
  <c r="AG143" i="41"/>
  <c r="M43" i="53"/>
  <c r="M49" i="53" s="1"/>
  <c r="P133" i="74"/>
  <c r="P132" i="74"/>
  <c r="O42" i="53"/>
  <c r="O48" i="53" s="1"/>
  <c r="O54" i="53" s="1"/>
  <c r="N43" i="53"/>
  <c r="N49" i="53" s="1"/>
  <c r="J71" i="53"/>
  <c r="J73" i="53" s="1"/>
  <c r="J69" i="53"/>
  <c r="Q299" i="53" l="1"/>
  <c r="Q301" i="53"/>
  <c r="Q297" i="53"/>
  <c r="Q119" i="80" s="1"/>
  <c r="Q131" i="80" s="1"/>
  <c r="Q272" i="53"/>
  <c r="Q81" i="83" s="1"/>
  <c r="Q152" i="83" s="1"/>
  <c r="Q283" i="53"/>
  <c r="Q93" i="83" s="1"/>
  <c r="Q181" i="83" s="1"/>
  <c r="Q52" i="71" s="1"/>
  <c r="Q157" i="71" s="1"/>
  <c r="Q274" i="53"/>
  <c r="Q84" i="83" s="1"/>
  <c r="Q155" i="83" s="1"/>
  <c r="Q25" i="71" s="1"/>
  <c r="Q130" i="71" s="1"/>
  <c r="Q279" i="53"/>
  <c r="Q77" i="80" s="1"/>
  <c r="Q89" i="80" s="1"/>
  <c r="Q289" i="53"/>
  <c r="Q99" i="80" s="1"/>
  <c r="Q111" i="80" s="1"/>
  <c r="Q294" i="53"/>
  <c r="Q280" i="53"/>
  <c r="Q78" i="80" s="1"/>
  <c r="Q90" i="80" s="1"/>
  <c r="Q296" i="53"/>
  <c r="Q108" i="83" s="1"/>
  <c r="Q213" i="83" s="1"/>
  <c r="Q85" i="71" s="1"/>
  <c r="Q190" i="71" s="1"/>
  <c r="Q276" i="53"/>
  <c r="Q74" i="80" s="1"/>
  <c r="Q86" i="80" s="1"/>
  <c r="Q295" i="53"/>
  <c r="Q117" i="80" s="1"/>
  <c r="Q129" i="80" s="1"/>
  <c r="Q273" i="53"/>
  <c r="Q83" i="83" s="1"/>
  <c r="Q154" i="83" s="1"/>
  <c r="Q24" i="71" s="1"/>
  <c r="Q129" i="71" s="1"/>
  <c r="Q302" i="53"/>
  <c r="Q124" i="80" s="1"/>
  <c r="Q136" i="80" s="1"/>
  <c r="Q291" i="53"/>
  <c r="Q102" i="83" s="1"/>
  <c r="Q190" i="83" s="1"/>
  <c r="Q61" i="71" s="1"/>
  <c r="Q166" i="71" s="1"/>
  <c r="Q277" i="53"/>
  <c r="Q278" i="53"/>
  <c r="Q88" i="83" s="1"/>
  <c r="Q159" i="83" s="1"/>
  <c r="Q29" i="71" s="1"/>
  <c r="Q134" i="71" s="1"/>
  <c r="Q275" i="53"/>
  <c r="Q73" i="80" s="1"/>
  <c r="Q85" i="80" s="1"/>
  <c r="Q298" i="53"/>
  <c r="Q120" i="80" s="1"/>
  <c r="Q132" i="80" s="1"/>
  <c r="Q287" i="53"/>
  <c r="Q97" i="80" s="1"/>
  <c r="Q109" i="80" s="1"/>
  <c r="Q286" i="53"/>
  <c r="Q96" i="80" s="1"/>
  <c r="Q108" i="80" s="1"/>
  <c r="Q288" i="53"/>
  <c r="Q99" i="83" s="1"/>
  <c r="Q187" i="83" s="1"/>
  <c r="Q58" i="71" s="1"/>
  <c r="Q163" i="71" s="1"/>
  <c r="Q290" i="53"/>
  <c r="Q100" i="80" s="1"/>
  <c r="Q112" i="80" s="1"/>
  <c r="Q285" i="53"/>
  <c r="Q300" i="53"/>
  <c r="Q122" i="80" s="1"/>
  <c r="Q134" i="80" s="1"/>
  <c r="H38" i="111" a="1"/>
  <c r="H38" i="111" s="1"/>
  <c r="A4" i="111" s="1"/>
  <c r="O77" i="53"/>
  <c r="O83" i="53" s="1"/>
  <c r="O91" i="53" s="1"/>
  <c r="O267" i="53" s="1"/>
  <c r="O78" i="83" s="1"/>
  <c r="P77" i="53"/>
  <c r="P83" i="53" s="1"/>
  <c r="P91" i="53" s="1"/>
  <c r="P267" i="53" s="1"/>
  <c r="P78" i="83" s="1"/>
  <c r="J79" i="53"/>
  <c r="J85" i="53" s="1"/>
  <c r="K79" i="53"/>
  <c r="K85" i="53" s="1"/>
  <c r="Y146" i="41"/>
  <c r="Y148" i="41" s="1"/>
  <c r="Y150" i="41" s="1"/>
  <c r="AE146" i="41"/>
  <c r="AE148" i="41" s="1"/>
  <c r="AE150" i="41" s="1"/>
  <c r="N146" i="41"/>
  <c r="N148" i="41" s="1"/>
  <c r="N150" i="41" s="1"/>
  <c r="X146" i="41"/>
  <c r="X148" i="41" s="1"/>
  <c r="X150" i="41" s="1"/>
  <c r="P146" i="41"/>
  <c r="P148" i="41" s="1"/>
  <c r="P150" i="41" s="1"/>
  <c r="Q74" i="74"/>
  <c r="Q73" i="74"/>
  <c r="Q77" i="74"/>
  <c r="Q78" i="74"/>
  <c r="Q76" i="74"/>
  <c r="Q75" i="74"/>
  <c r="Q72" i="74"/>
  <c r="Q95" i="80"/>
  <c r="Q107" i="80" s="1"/>
  <c r="Q96" i="83"/>
  <c r="Q184" i="83" s="1"/>
  <c r="Q55" i="71" s="1"/>
  <c r="Q160" i="71" s="1"/>
  <c r="Q94" i="80"/>
  <c r="Q106" i="80" s="1"/>
  <c r="Q95" i="83"/>
  <c r="Q183" i="83" s="1"/>
  <c r="Q54" i="71" s="1"/>
  <c r="Q159" i="71" s="1"/>
  <c r="AG146" i="41"/>
  <c r="AG148" i="41" s="1"/>
  <c r="AG150" i="41" s="1"/>
  <c r="AA146" i="41"/>
  <c r="AA148" i="41" s="1"/>
  <c r="AA150" i="41" s="1"/>
  <c r="Z146" i="41"/>
  <c r="Z148" i="41" s="1"/>
  <c r="Z150" i="41" s="1"/>
  <c r="P73" i="74"/>
  <c r="P72" i="74"/>
  <c r="P74" i="74"/>
  <c r="P76" i="74"/>
  <c r="P75" i="74"/>
  <c r="P78" i="74"/>
  <c r="P77" i="74"/>
  <c r="M79" i="53"/>
  <c r="M85" i="53" s="1"/>
  <c r="L79" i="53"/>
  <c r="L85" i="53" s="1"/>
  <c r="Q75" i="80"/>
  <c r="Q87" i="80" s="1"/>
  <c r="Q87" i="83"/>
  <c r="Q158" i="83" s="1"/>
  <c r="Q28" i="71" s="1"/>
  <c r="Q133" i="71" s="1"/>
  <c r="S146" i="41"/>
  <c r="S148" i="41" s="1"/>
  <c r="S150" i="41" s="1"/>
  <c r="Q70" i="80"/>
  <c r="Q82" i="80" s="1"/>
  <c r="Q82" i="83"/>
  <c r="Q153" i="83" s="1"/>
  <c r="Q23" i="71" s="1"/>
  <c r="Q128" i="71" s="1"/>
  <c r="Q121" i="80"/>
  <c r="Q133" i="80" s="1"/>
  <c r="Q111" i="83"/>
  <c r="Q216" i="83" s="1"/>
  <c r="Q88" i="71" s="1"/>
  <c r="Q193" i="71" s="1"/>
  <c r="Q113" i="83"/>
  <c r="Q218" i="83" s="1"/>
  <c r="Q90" i="71" s="1"/>
  <c r="Q195" i="71" s="1"/>
  <c r="Q123" i="80"/>
  <c r="Q135" i="80" s="1"/>
  <c r="M146" i="41"/>
  <c r="M148" i="41" s="1"/>
  <c r="M150" i="41" s="1"/>
  <c r="AC146" i="41"/>
  <c r="AC148" i="41" s="1"/>
  <c r="AC150" i="41" s="1"/>
  <c r="AD146" i="41"/>
  <c r="AD148" i="41" s="1"/>
  <c r="AD150" i="41" s="1"/>
  <c r="L76" i="74"/>
  <c r="L78" i="74"/>
  <c r="L73" i="74"/>
  <c r="L72" i="74"/>
  <c r="L77" i="74"/>
  <c r="L75" i="74"/>
  <c r="L74" i="74"/>
  <c r="V146" i="41"/>
  <c r="V148" i="41" s="1"/>
  <c r="V150" i="41" s="1"/>
  <c r="J146" i="41"/>
  <c r="J148" i="41" s="1"/>
  <c r="J150" i="41" s="1"/>
  <c r="J77" i="74"/>
  <c r="J73" i="74"/>
  <c r="J72" i="74"/>
  <c r="J76" i="74"/>
  <c r="J74" i="74"/>
  <c r="J75" i="74"/>
  <c r="J78" i="74"/>
  <c r="O76" i="74"/>
  <c r="O78" i="74"/>
  <c r="O73" i="74"/>
  <c r="O74" i="74"/>
  <c r="O77" i="74"/>
  <c r="O75" i="74"/>
  <c r="O72" i="74"/>
  <c r="J77" i="53"/>
  <c r="K77" i="53"/>
  <c r="K83" i="53" s="1"/>
  <c r="N77" i="74"/>
  <c r="N72" i="74"/>
  <c r="N76" i="74"/>
  <c r="N78" i="74"/>
  <c r="N73" i="74"/>
  <c r="N75" i="74"/>
  <c r="N74" i="74"/>
  <c r="M77" i="53"/>
  <c r="M83" i="53" s="1"/>
  <c r="L77" i="53"/>
  <c r="L83" i="53" s="1"/>
  <c r="N77" i="53"/>
  <c r="N83" i="53" s="1"/>
  <c r="N91" i="53" s="1"/>
  <c r="N267" i="53" s="1"/>
  <c r="N78" i="83" s="1"/>
  <c r="Q116" i="80"/>
  <c r="Q128" i="80" s="1"/>
  <c r="Q106" i="83"/>
  <c r="Q211" i="83" s="1"/>
  <c r="Q83" i="71" s="1"/>
  <c r="Q188" i="71" s="1"/>
  <c r="Q105" i="83"/>
  <c r="Q210" i="83" s="1"/>
  <c r="Q82" i="71" s="1"/>
  <c r="Q187" i="71" s="1"/>
  <c r="Q90" i="83"/>
  <c r="Q161" i="83" s="1"/>
  <c r="Q31" i="71" s="1"/>
  <c r="Q136" i="71" s="1"/>
  <c r="AF146" i="41"/>
  <c r="AF148" i="41" s="1"/>
  <c r="AF150" i="41" s="1"/>
  <c r="O146" i="41"/>
  <c r="O148" i="41" s="1"/>
  <c r="O150" i="41" s="1"/>
  <c r="T146" i="41"/>
  <c r="T148" i="41" s="1"/>
  <c r="T150" i="41" s="1"/>
  <c r="U146" i="41"/>
  <c r="U148" i="41" s="1"/>
  <c r="U150" i="41" s="1"/>
  <c r="Q109" i="83" l="1"/>
  <c r="Q214" i="83" s="1"/>
  <c r="Q86" i="71" s="1"/>
  <c r="Q191" i="71" s="1"/>
  <c r="Q118" i="80"/>
  <c r="Q130" i="80" s="1"/>
  <c r="Q85" i="83"/>
  <c r="Q156" i="83" s="1"/>
  <c r="Q26" i="71" s="1"/>
  <c r="Q131" i="71" s="1"/>
  <c r="Q101" i="80"/>
  <c r="Q113" i="80" s="1"/>
  <c r="Q150" i="80" s="1"/>
  <c r="Q176" i="80" s="1"/>
  <c r="Q98" i="80"/>
  <c r="Q110" i="80" s="1"/>
  <c r="Q76" i="80"/>
  <c r="Q88" i="80" s="1"/>
  <c r="Q148" i="80" s="1"/>
  <c r="Q174" i="80" s="1"/>
  <c r="Q275" i="80" s="1"/>
  <c r="Q93" i="80"/>
  <c r="Q105" i="80" s="1"/>
  <c r="Q142" i="80" s="1"/>
  <c r="Q168" i="80" s="1"/>
  <c r="Q98" i="83"/>
  <c r="Q186" i="83" s="1"/>
  <c r="Q57" i="71" s="1"/>
  <c r="Q162" i="71" s="1"/>
  <c r="Q94" i="83"/>
  <c r="Q182" i="83" s="1"/>
  <c r="Q53" i="71" s="1"/>
  <c r="Q158" i="71" s="1"/>
  <c r="Q72" i="80"/>
  <c r="Q84" i="80" s="1"/>
  <c r="Q89" i="83"/>
  <c r="Q160" i="83" s="1"/>
  <c r="Q30" i="71" s="1"/>
  <c r="Q135" i="71" s="1"/>
  <c r="Q107" i="83"/>
  <c r="Q212" i="83" s="1"/>
  <c r="Q84" i="71" s="1"/>
  <c r="Q189" i="71" s="1"/>
  <c r="Q100" i="83"/>
  <c r="Q188" i="83" s="1"/>
  <c r="Q59" i="71" s="1"/>
  <c r="Q164" i="71" s="1"/>
  <c r="Q101" i="83"/>
  <c r="Q189" i="83" s="1"/>
  <c r="Q60" i="71" s="1"/>
  <c r="Q165" i="71" s="1"/>
  <c r="Q114" i="83"/>
  <c r="Q219" i="83" s="1"/>
  <c r="Q91" i="71" s="1"/>
  <c r="Q196" i="71" s="1"/>
  <c r="Q97" i="83"/>
  <c r="Q185" i="83" s="1"/>
  <c r="Q56" i="71" s="1"/>
  <c r="Q161" i="71" s="1"/>
  <c r="Q71" i="80"/>
  <c r="Q83" i="80" s="1"/>
  <c r="Q143" i="80" s="1"/>
  <c r="Q169" i="80" s="1"/>
  <c r="Q270" i="80" s="1"/>
  <c r="Q112" i="83"/>
  <c r="Q217" i="83" s="1"/>
  <c r="Q89" i="71" s="1"/>
  <c r="Q194" i="71" s="1"/>
  <c r="Q110" i="83"/>
  <c r="Q215" i="83" s="1"/>
  <c r="Q87" i="71" s="1"/>
  <c r="Q192" i="71" s="1"/>
  <c r="Q86" i="83"/>
  <c r="Q157" i="83" s="1"/>
  <c r="Q27" i="71" s="1"/>
  <c r="Q132" i="71" s="1"/>
  <c r="Y108" i="74"/>
  <c r="Y140" i="74" s="1"/>
  <c r="Q146" i="80"/>
  <c r="Q172" i="80" s="1"/>
  <c r="Q273" i="80" s="1"/>
  <c r="K91" i="53"/>
  <c r="K267" i="53" s="1"/>
  <c r="K78" i="83" s="1"/>
  <c r="K127" i="83" s="1"/>
  <c r="K127" i="72" s="1"/>
  <c r="K197" i="72" s="1"/>
  <c r="K227" i="72" s="1"/>
  <c r="T103" i="74"/>
  <c r="T135" i="74" s="1"/>
  <c r="L91" i="53"/>
  <c r="L267" i="53" s="1"/>
  <c r="L78" i="83" s="1"/>
  <c r="L127" i="83" s="1"/>
  <c r="L127" i="72" s="1"/>
  <c r="L197" i="72" s="1"/>
  <c r="L227" i="72" s="1"/>
  <c r="Q149" i="80"/>
  <c r="Q175" i="80" s="1"/>
  <c r="Q276" i="80" s="1"/>
  <c r="Y102" i="74"/>
  <c r="Y134" i="74" s="1"/>
  <c r="P108" i="74"/>
  <c r="P140" i="74" s="1"/>
  <c r="U102" i="74"/>
  <c r="U134" i="74" s="1"/>
  <c r="K104" i="74"/>
  <c r="K136" i="74" s="1"/>
  <c r="J49" i="55"/>
  <c r="W108" i="74"/>
  <c r="W140" i="74" s="1"/>
  <c r="M91" i="53"/>
  <c r="M267" i="53" s="1"/>
  <c r="M78" i="83" s="1"/>
  <c r="M129" i="83" s="1"/>
  <c r="M129" i="72" s="1"/>
  <c r="M199" i="72" s="1"/>
  <c r="M229" i="72" s="1"/>
  <c r="Q107" i="74"/>
  <c r="Q139" i="74" s="1"/>
  <c r="N103" i="74"/>
  <c r="N135" i="74" s="1"/>
  <c r="M106" i="74"/>
  <c r="M138" i="74" s="1"/>
  <c r="Q103" i="74"/>
  <c r="Q135" i="74" s="1"/>
  <c r="S105" i="74"/>
  <c r="S137" i="74" s="1"/>
  <c r="O103" i="74"/>
  <c r="O135" i="74" s="1"/>
  <c r="Q106" i="74"/>
  <c r="Q138" i="74" s="1"/>
  <c r="Q102" i="74"/>
  <c r="Q134" i="74" s="1"/>
  <c r="N107" i="74"/>
  <c r="N139" i="74" s="1"/>
  <c r="Y106" i="74"/>
  <c r="Y138" i="74" s="1"/>
  <c r="O106" i="74"/>
  <c r="O138" i="74" s="1"/>
  <c r="T107" i="74"/>
  <c r="T139" i="74" s="1"/>
  <c r="R102" i="74"/>
  <c r="R134" i="74" s="1"/>
  <c r="R106" i="74"/>
  <c r="R138" i="74" s="1"/>
  <c r="T104" i="74"/>
  <c r="T136" i="74" s="1"/>
  <c r="M108" i="74"/>
  <c r="M140" i="74" s="1"/>
  <c r="V105" i="74"/>
  <c r="V137" i="74" s="1"/>
  <c r="M107" i="74"/>
  <c r="M139" i="74" s="1"/>
  <c r="V103" i="74"/>
  <c r="V135" i="74" s="1"/>
  <c r="O105" i="74"/>
  <c r="O137" i="74" s="1"/>
  <c r="X107" i="74"/>
  <c r="X139" i="74" s="1"/>
  <c r="N104" i="74"/>
  <c r="N136" i="74" s="1"/>
  <c r="R108" i="74"/>
  <c r="R140" i="74" s="1"/>
  <c r="W106" i="74"/>
  <c r="W138" i="74" s="1"/>
  <c r="X106" i="74"/>
  <c r="X138" i="74" s="1"/>
  <c r="K103" i="74"/>
  <c r="K135" i="74" s="1"/>
  <c r="M103" i="74"/>
  <c r="M135" i="74" s="1"/>
  <c r="V104" i="74"/>
  <c r="V136" i="74" s="1"/>
  <c r="Y104" i="74"/>
  <c r="Y136" i="74" s="1"/>
  <c r="V102" i="74"/>
  <c r="V134" i="74" s="1"/>
  <c r="R105" i="74"/>
  <c r="R137" i="74" s="1"/>
  <c r="X105" i="74"/>
  <c r="X137" i="74" s="1"/>
  <c r="V107" i="74"/>
  <c r="V139" i="74" s="1"/>
  <c r="Y107" i="74"/>
  <c r="Y139" i="74" s="1"/>
  <c r="P93" i="53"/>
  <c r="N102" i="74"/>
  <c r="N134" i="74" s="1"/>
  <c r="K108" i="74"/>
  <c r="K140" i="74" s="1"/>
  <c r="O108" i="74"/>
  <c r="O140" i="74" s="1"/>
  <c r="P106" i="74"/>
  <c r="P138" i="74" s="1"/>
  <c r="R103" i="74"/>
  <c r="R135" i="74" s="1"/>
  <c r="U103" i="74"/>
  <c r="U135" i="74" s="1"/>
  <c r="M104" i="74"/>
  <c r="M136" i="74" s="1"/>
  <c r="X104" i="74"/>
  <c r="X136" i="74" s="1"/>
  <c r="M102" i="74"/>
  <c r="M134" i="74" s="1"/>
  <c r="M105" i="74"/>
  <c r="M137" i="74" s="1"/>
  <c r="Y105" i="74"/>
  <c r="Y137" i="74" s="1"/>
  <c r="U107" i="74"/>
  <c r="U139" i="74" s="1"/>
  <c r="P107" i="74"/>
  <c r="P139" i="74" s="1"/>
  <c r="V108" i="74"/>
  <c r="V140" i="74" s="1"/>
  <c r="T108" i="74"/>
  <c r="T140" i="74" s="1"/>
  <c r="U108" i="74"/>
  <c r="U140" i="74" s="1"/>
  <c r="S106" i="74"/>
  <c r="S138" i="74" s="1"/>
  <c r="W103" i="74"/>
  <c r="W135" i="74" s="1"/>
  <c r="P104" i="74"/>
  <c r="P136" i="74" s="1"/>
  <c r="U104" i="74"/>
  <c r="U136" i="74" s="1"/>
  <c r="O102" i="74"/>
  <c r="O134" i="74" s="1"/>
  <c r="S102" i="74"/>
  <c r="S134" i="74" s="1"/>
  <c r="U105" i="74"/>
  <c r="U137" i="74" s="1"/>
  <c r="W105" i="74"/>
  <c r="W137" i="74" s="1"/>
  <c r="O107" i="74"/>
  <c r="O139" i="74" s="1"/>
  <c r="W107" i="74"/>
  <c r="W139" i="74" s="1"/>
  <c r="N93" i="53"/>
  <c r="S108" i="74"/>
  <c r="S140" i="74" s="1"/>
  <c r="X108" i="74"/>
  <c r="X140" i="74" s="1"/>
  <c r="N106" i="74"/>
  <c r="N138" i="74" s="1"/>
  <c r="U106" i="74"/>
  <c r="U138" i="74" s="1"/>
  <c r="X103" i="74"/>
  <c r="X135" i="74" s="1"/>
  <c r="S104" i="74"/>
  <c r="S136" i="74" s="1"/>
  <c r="Q104" i="74"/>
  <c r="Q136" i="74" s="1"/>
  <c r="X102" i="74"/>
  <c r="X134" i="74" s="1"/>
  <c r="T102" i="74"/>
  <c r="T134" i="74" s="1"/>
  <c r="N105" i="74"/>
  <c r="N137" i="74" s="1"/>
  <c r="K105" i="74"/>
  <c r="K137" i="74" s="1"/>
  <c r="R107" i="74"/>
  <c r="R139" i="74" s="1"/>
  <c r="K107" i="74"/>
  <c r="K139" i="74" s="1"/>
  <c r="Q108" i="74"/>
  <c r="Q140" i="74" s="1"/>
  <c r="T106" i="74"/>
  <c r="T138" i="74" s="1"/>
  <c r="K106" i="74"/>
  <c r="K138" i="74" s="1"/>
  <c r="Y103" i="74"/>
  <c r="Y135" i="74" s="1"/>
  <c r="S103" i="74"/>
  <c r="S135" i="74" s="1"/>
  <c r="R104" i="74"/>
  <c r="R136" i="74" s="1"/>
  <c r="O104" i="74"/>
  <c r="O136" i="74" s="1"/>
  <c r="W102" i="74"/>
  <c r="W134" i="74" s="1"/>
  <c r="K102" i="74"/>
  <c r="K134" i="74" s="1"/>
  <c r="T105" i="74"/>
  <c r="T137" i="74" s="1"/>
  <c r="Q105" i="74"/>
  <c r="Q137" i="74" s="1"/>
  <c r="S107" i="74"/>
  <c r="S139" i="74" s="1"/>
  <c r="N108" i="74"/>
  <c r="N140" i="74" s="1"/>
  <c r="V106" i="74"/>
  <c r="V138" i="74" s="1"/>
  <c r="P103" i="74"/>
  <c r="P135" i="74" s="1"/>
  <c r="Q147" i="80"/>
  <c r="Q173" i="80" s="1"/>
  <c r="Q274" i="80" s="1"/>
  <c r="W104" i="74"/>
  <c r="W136" i="74" s="1"/>
  <c r="P102" i="74"/>
  <c r="P134" i="74" s="1"/>
  <c r="P105" i="74"/>
  <c r="P137" i="74" s="1"/>
  <c r="O93" i="53"/>
  <c r="AD156" i="41"/>
  <c r="AD158" i="41" s="1"/>
  <c r="AD183" i="41"/>
  <c r="AF183" i="41"/>
  <c r="AF156" i="41"/>
  <c r="AF158" i="41" s="1"/>
  <c r="Z183" i="41"/>
  <c r="Z156" i="41"/>
  <c r="Z158" i="41" s="1"/>
  <c r="AA156" i="41"/>
  <c r="AA158" i="41" s="1"/>
  <c r="AA183" i="41"/>
  <c r="AE183" i="41"/>
  <c r="AE156" i="41"/>
  <c r="AE158" i="41" s="1"/>
  <c r="T183" i="41"/>
  <c r="T156" i="41"/>
  <c r="T158" i="41" s="1"/>
  <c r="M183" i="41"/>
  <c r="M156" i="41"/>
  <c r="M158" i="41" s="1"/>
  <c r="P156" i="41"/>
  <c r="P158" i="41" s="1"/>
  <c r="P183" i="41"/>
  <c r="AO156" i="41"/>
  <c r="AO158" i="41" s="1"/>
  <c r="AH183" i="41"/>
  <c r="Q183" i="41"/>
  <c r="Q156" i="41"/>
  <c r="Q158" i="41" s="1"/>
  <c r="J183" i="41"/>
  <c r="AM183" i="41"/>
  <c r="L156" i="41"/>
  <c r="L158" i="41" s="1"/>
  <c r="AL156" i="41"/>
  <c r="AL158" i="41" s="1"/>
  <c r="AN183" i="41"/>
  <c r="AK183" i="41"/>
  <c r="AI183" i="41"/>
  <c r="L183" i="41"/>
  <c r="AN156" i="41"/>
  <c r="AN158" i="41" s="1"/>
  <c r="AB156" i="41"/>
  <c r="AB158" i="41" s="1"/>
  <c r="AB183" i="41"/>
  <c r="R183" i="41"/>
  <c r="K156" i="41"/>
  <c r="K158" i="41" s="1"/>
  <c r="J156" i="41"/>
  <c r="J158" i="41" s="1"/>
  <c r="AO183" i="41"/>
  <c r="K183" i="41"/>
  <c r="AM156" i="41"/>
  <c r="AM158" i="41" s="1"/>
  <c r="AI156" i="41"/>
  <c r="AI158" i="41" s="1"/>
  <c r="AJ183" i="41"/>
  <c r="AJ156" i="41"/>
  <c r="AJ158" i="41" s="1"/>
  <c r="W183" i="41"/>
  <c r="R156" i="41"/>
  <c r="R158" i="41" s="1"/>
  <c r="AK156" i="41"/>
  <c r="AK158" i="41" s="1"/>
  <c r="AL183" i="41"/>
  <c r="W156" i="41"/>
  <c r="W158" i="41" s="1"/>
  <c r="AH156" i="41"/>
  <c r="AH158" i="41" s="1"/>
  <c r="X183" i="41"/>
  <c r="X156" i="41"/>
  <c r="X158" i="41" s="1"/>
  <c r="O183" i="41"/>
  <c r="O156" i="41"/>
  <c r="O158" i="41" s="1"/>
  <c r="U183" i="41"/>
  <c r="U156" i="41"/>
  <c r="U158" i="41" s="1"/>
  <c r="N127" i="83"/>
  <c r="N127" i="72" s="1"/>
  <c r="N197" i="72" s="1"/>
  <c r="N227" i="72" s="1"/>
  <c r="N123" i="83"/>
  <c r="N124" i="83"/>
  <c r="N132" i="83"/>
  <c r="N132" i="72" s="1"/>
  <c r="N202" i="72" s="1"/>
  <c r="N232" i="72" s="1"/>
  <c r="N126" i="83"/>
  <c r="N126" i="72" s="1"/>
  <c r="N196" i="72" s="1"/>
  <c r="N226" i="72" s="1"/>
  <c r="N128" i="83"/>
  <c r="N128" i="72" s="1"/>
  <c r="N198" i="72" s="1"/>
  <c r="N228" i="72" s="1"/>
  <c r="N131" i="83"/>
  <c r="N131" i="72" s="1"/>
  <c r="N201" i="72" s="1"/>
  <c r="N231" i="72" s="1"/>
  <c r="N130" i="83"/>
  <c r="N130" i="72" s="1"/>
  <c r="N200" i="72" s="1"/>
  <c r="N230" i="72" s="1"/>
  <c r="N129" i="83"/>
  <c r="N129" i="72" s="1"/>
  <c r="N199" i="72" s="1"/>
  <c r="N229" i="72" s="1"/>
  <c r="N125" i="83"/>
  <c r="N125" i="72" s="1"/>
  <c r="N195" i="72" s="1"/>
  <c r="N225" i="72" s="1"/>
  <c r="L103" i="74"/>
  <c r="L135" i="74" s="1"/>
  <c r="J103" i="74"/>
  <c r="J135" i="74" s="1"/>
  <c r="Q145" i="80"/>
  <c r="Q171" i="80" s="1"/>
  <c r="Q272" i="80" s="1"/>
  <c r="J102" i="74"/>
  <c r="J134" i="74" s="1"/>
  <c r="L102" i="74"/>
  <c r="L134" i="74" s="1"/>
  <c r="L107" i="74"/>
  <c r="L139" i="74" s="1"/>
  <c r="J107" i="74"/>
  <c r="J139" i="74" s="1"/>
  <c r="J83" i="53"/>
  <c r="J91" i="53" s="1"/>
  <c r="J267" i="53" s="1"/>
  <c r="J78" i="83" s="1"/>
  <c r="O132" i="83"/>
  <c r="O132" i="72" s="1"/>
  <c r="O202" i="72" s="1"/>
  <c r="O232" i="72" s="1"/>
  <c r="O127" i="83"/>
  <c r="O127" i="72" s="1"/>
  <c r="O197" i="72" s="1"/>
  <c r="O227" i="72" s="1"/>
  <c r="O131" i="83"/>
  <c r="O131" i="72" s="1"/>
  <c r="O201" i="72" s="1"/>
  <c r="O231" i="72" s="1"/>
  <c r="O130" i="83"/>
  <c r="O130" i="72" s="1"/>
  <c r="O200" i="72" s="1"/>
  <c r="O230" i="72" s="1"/>
  <c r="O128" i="83"/>
  <c r="O128" i="72" s="1"/>
  <c r="O198" i="72" s="1"/>
  <c r="O228" i="72" s="1"/>
  <c r="O126" i="83"/>
  <c r="O126" i="72" s="1"/>
  <c r="O196" i="72" s="1"/>
  <c r="O226" i="72" s="1"/>
  <c r="O125" i="83"/>
  <c r="O125" i="72" s="1"/>
  <c r="O195" i="72" s="1"/>
  <c r="O225" i="72" s="1"/>
  <c r="O124" i="83"/>
  <c r="O129" i="83"/>
  <c r="O129" i="72" s="1"/>
  <c r="O199" i="72" s="1"/>
  <c r="O229" i="72" s="1"/>
  <c r="O123" i="83"/>
  <c r="Y183" i="41"/>
  <c r="Y156" i="41"/>
  <c r="Y158" i="41" s="1"/>
  <c r="J108" i="74"/>
  <c r="J140" i="74" s="1"/>
  <c r="L108" i="74"/>
  <c r="L140" i="74" s="1"/>
  <c r="Q144" i="80"/>
  <c r="Q170" i="80" s="1"/>
  <c r="Q271" i="80" s="1"/>
  <c r="L105" i="74"/>
  <c r="L137" i="74" s="1"/>
  <c r="J105" i="74"/>
  <c r="J137" i="74" s="1"/>
  <c r="AC156" i="41"/>
  <c r="AC158" i="41" s="1"/>
  <c r="AC183" i="41"/>
  <c r="S156" i="41"/>
  <c r="S158" i="41" s="1"/>
  <c r="S183" i="41"/>
  <c r="L104" i="74"/>
  <c r="L136" i="74" s="1"/>
  <c r="J104" i="74"/>
  <c r="J136" i="74" s="1"/>
  <c r="V156" i="41"/>
  <c r="V158" i="41" s="1"/>
  <c r="V183" i="41"/>
  <c r="AG183" i="41"/>
  <c r="AG156" i="41"/>
  <c r="AG158" i="41" s="1"/>
  <c r="P124" i="83"/>
  <c r="P123" i="83"/>
  <c r="P129" i="83"/>
  <c r="P129" i="72" s="1"/>
  <c r="P199" i="72" s="1"/>
  <c r="P229" i="72" s="1"/>
  <c r="P132" i="83"/>
  <c r="P132" i="72" s="1"/>
  <c r="P202" i="72" s="1"/>
  <c r="P232" i="72" s="1"/>
  <c r="P128" i="83"/>
  <c r="P128" i="72" s="1"/>
  <c r="P198" i="72" s="1"/>
  <c r="P228" i="72" s="1"/>
  <c r="P126" i="83"/>
  <c r="P126" i="72" s="1"/>
  <c r="P196" i="72" s="1"/>
  <c r="P226" i="72" s="1"/>
  <c r="P130" i="83"/>
  <c r="P130" i="72" s="1"/>
  <c r="P200" i="72" s="1"/>
  <c r="P230" i="72" s="1"/>
  <c r="P127" i="83"/>
  <c r="P127" i="72" s="1"/>
  <c r="P197" i="72" s="1"/>
  <c r="P227" i="72" s="1"/>
  <c r="P131" i="83"/>
  <c r="P131" i="72" s="1"/>
  <c r="P201" i="72" s="1"/>
  <c r="P231" i="72" s="1"/>
  <c r="P125" i="83"/>
  <c r="P125" i="72" s="1"/>
  <c r="P195" i="72" s="1"/>
  <c r="P225" i="72" s="1"/>
  <c r="J106" i="74"/>
  <c r="J138" i="74" s="1"/>
  <c r="L106" i="74"/>
  <c r="L138" i="74" s="1"/>
  <c r="Q22" i="71"/>
  <c r="Q127" i="71" s="1"/>
  <c r="N156" i="41"/>
  <c r="N158" i="41" s="1"/>
  <c r="N183" i="41"/>
  <c r="K131" i="83" l="1"/>
  <c r="K131" i="72" s="1"/>
  <c r="K201" i="72" s="1"/>
  <c r="K231" i="72" s="1"/>
  <c r="K126" i="83"/>
  <c r="K126" i="72" s="1"/>
  <c r="K196" i="72" s="1"/>
  <c r="K226" i="72" s="1"/>
  <c r="K129" i="83"/>
  <c r="K129" i="72" s="1"/>
  <c r="K199" i="72" s="1"/>
  <c r="K229" i="72" s="1"/>
  <c r="K123" i="83"/>
  <c r="K124" i="83"/>
  <c r="K128" i="83"/>
  <c r="K128" i="72" s="1"/>
  <c r="K198" i="72" s="1"/>
  <c r="K228" i="72" s="1"/>
  <c r="K125" i="83"/>
  <c r="K125" i="72" s="1"/>
  <c r="K195" i="72" s="1"/>
  <c r="K225" i="72" s="1"/>
  <c r="K132" i="83"/>
  <c r="K132" i="72" s="1"/>
  <c r="K202" i="72" s="1"/>
  <c r="K232" i="72" s="1"/>
  <c r="K130" i="83"/>
  <c r="K130" i="72" s="1"/>
  <c r="K200" i="72" s="1"/>
  <c r="K230" i="72" s="1"/>
  <c r="K93" i="53"/>
  <c r="K296" i="53" s="1"/>
  <c r="K108" i="83" s="1"/>
  <c r="K213" i="83" s="1"/>
  <c r="K85" i="71" s="1"/>
  <c r="K190" i="71" s="1"/>
  <c r="L130" i="83"/>
  <c r="L130" i="72" s="1"/>
  <c r="L200" i="72" s="1"/>
  <c r="L230" i="72" s="1"/>
  <c r="M126" i="83"/>
  <c r="M126" i="72" s="1"/>
  <c r="M196" i="72" s="1"/>
  <c r="M226" i="72" s="1"/>
  <c r="M125" i="83"/>
  <c r="M125" i="72" s="1"/>
  <c r="M195" i="72" s="1"/>
  <c r="M225" i="72" s="1"/>
  <c r="M124" i="83"/>
  <c r="L132" i="83"/>
  <c r="L132" i="72" s="1"/>
  <c r="L202" i="72" s="1"/>
  <c r="L232" i="72" s="1"/>
  <c r="M131" i="83"/>
  <c r="M131" i="72" s="1"/>
  <c r="M201" i="72" s="1"/>
  <c r="M231" i="72" s="1"/>
  <c r="M123" i="83"/>
  <c r="L124" i="83"/>
  <c r="L93" i="53"/>
  <c r="M130" i="83"/>
  <c r="M130" i="72" s="1"/>
  <c r="M200" i="72" s="1"/>
  <c r="M230" i="72" s="1"/>
  <c r="L126" i="83"/>
  <c r="L126" i="72" s="1"/>
  <c r="L196" i="72" s="1"/>
  <c r="L226" i="72" s="1"/>
  <c r="M93" i="53"/>
  <c r="M275" i="53" s="1"/>
  <c r="M85" i="83" s="1"/>
  <c r="M156" i="83" s="1"/>
  <c r="M26" i="71" s="1"/>
  <c r="M131" i="71" s="1"/>
  <c r="M127" i="83"/>
  <c r="M127" i="72" s="1"/>
  <c r="M197" i="72" s="1"/>
  <c r="M227" i="72" s="1"/>
  <c r="L125" i="83"/>
  <c r="L125" i="72" s="1"/>
  <c r="L195" i="72" s="1"/>
  <c r="L225" i="72" s="1"/>
  <c r="L123" i="83"/>
  <c r="M132" i="83"/>
  <c r="M132" i="72" s="1"/>
  <c r="M202" i="72" s="1"/>
  <c r="M232" i="72" s="1"/>
  <c r="L129" i="83"/>
  <c r="L129" i="72" s="1"/>
  <c r="L199" i="72" s="1"/>
  <c r="L229" i="72" s="1"/>
  <c r="L128" i="83"/>
  <c r="L128" i="72" s="1"/>
  <c r="L198" i="72" s="1"/>
  <c r="L228" i="72" s="1"/>
  <c r="M128" i="83"/>
  <c r="M128" i="72" s="1"/>
  <c r="M198" i="72" s="1"/>
  <c r="M228" i="72" s="1"/>
  <c r="L131" i="83"/>
  <c r="L131" i="72" s="1"/>
  <c r="L201" i="72" s="1"/>
  <c r="L231" i="72" s="1"/>
  <c r="AM185" i="41"/>
  <c r="U185" i="41"/>
  <c r="V185" i="41"/>
  <c r="AE185" i="41"/>
  <c r="AI185" i="41"/>
  <c r="T185" i="41"/>
  <c r="Q208" i="80"/>
  <c r="K185" i="41"/>
  <c r="O300" i="53"/>
  <c r="O289" i="53"/>
  <c r="O291" i="53"/>
  <c r="O276" i="53"/>
  <c r="O286" i="53"/>
  <c r="O290" i="53"/>
  <c r="O272" i="53"/>
  <c r="O279" i="53"/>
  <c r="O287" i="53"/>
  <c r="O299" i="53"/>
  <c r="O275" i="53"/>
  <c r="O298" i="53"/>
  <c r="O273" i="53"/>
  <c r="O283" i="53"/>
  <c r="O296" i="53"/>
  <c r="O285" i="53"/>
  <c r="O294" i="53"/>
  <c r="O288" i="53"/>
  <c r="O295" i="53"/>
  <c r="O277" i="53"/>
  <c r="O297" i="53"/>
  <c r="O280" i="53"/>
  <c r="O278" i="53"/>
  <c r="O274" i="53"/>
  <c r="O301" i="53"/>
  <c r="O302" i="53"/>
  <c r="O284" i="53"/>
  <c r="AC185" i="41"/>
  <c r="AD185" i="41"/>
  <c r="W185" i="41"/>
  <c r="P273" i="53"/>
  <c r="P288" i="53"/>
  <c r="P287" i="53"/>
  <c r="P275" i="53"/>
  <c r="P284" i="53"/>
  <c r="P302" i="53"/>
  <c r="P285" i="53"/>
  <c r="P300" i="53"/>
  <c r="P294" i="53"/>
  <c r="P276" i="53"/>
  <c r="P274" i="53"/>
  <c r="P289" i="53"/>
  <c r="P290" i="53"/>
  <c r="P283" i="53"/>
  <c r="P297" i="53"/>
  <c r="P296" i="53"/>
  <c r="P272" i="53"/>
  <c r="P278" i="53"/>
  <c r="P291" i="53"/>
  <c r="P298" i="53"/>
  <c r="P279" i="53"/>
  <c r="P301" i="53"/>
  <c r="P277" i="53"/>
  <c r="P299" i="53"/>
  <c r="P295" i="53"/>
  <c r="P280" i="53"/>
  <c r="P286" i="53"/>
  <c r="S185" i="41"/>
  <c r="N286" i="53"/>
  <c r="N285" i="53"/>
  <c r="N295" i="53"/>
  <c r="N301" i="53"/>
  <c r="N298" i="53"/>
  <c r="N276" i="53"/>
  <c r="N275" i="53"/>
  <c r="N273" i="53"/>
  <c r="N278" i="53"/>
  <c r="N288" i="53"/>
  <c r="N291" i="53"/>
  <c r="N297" i="53"/>
  <c r="N277" i="53"/>
  <c r="N290" i="53"/>
  <c r="N299" i="53"/>
  <c r="N287" i="53"/>
  <c r="N300" i="53"/>
  <c r="N294" i="53"/>
  <c r="N274" i="53"/>
  <c r="N279" i="53"/>
  <c r="N289" i="53"/>
  <c r="N296" i="53"/>
  <c r="N280" i="53"/>
  <c r="N272" i="53"/>
  <c r="N284" i="53"/>
  <c r="N283" i="53"/>
  <c r="N302" i="53"/>
  <c r="O185" i="41"/>
  <c r="J93" i="53"/>
  <c r="M73" i="80"/>
  <c r="M85" i="80" s="1"/>
  <c r="Q177" i="80"/>
  <c r="Q269" i="80"/>
  <c r="AG185" i="41"/>
  <c r="X185" i="41"/>
  <c r="AK185" i="41"/>
  <c r="AL185" i="41"/>
  <c r="AO185" i="41"/>
  <c r="P185" i="41"/>
  <c r="AA185" i="41"/>
  <c r="AF185" i="41"/>
  <c r="J123" i="83"/>
  <c r="J124" i="83"/>
  <c r="J126" i="83"/>
  <c r="J126" i="72" s="1"/>
  <c r="J196" i="72" s="1"/>
  <c r="J226" i="72" s="1"/>
  <c r="J131" i="83"/>
  <c r="J131" i="72" s="1"/>
  <c r="J201" i="72" s="1"/>
  <c r="J231" i="72" s="1"/>
  <c r="J132" i="83"/>
  <c r="J132" i="72" s="1"/>
  <c r="J202" i="72" s="1"/>
  <c r="J232" i="72" s="1"/>
  <c r="J129" i="83"/>
  <c r="J129" i="72" s="1"/>
  <c r="J199" i="72" s="1"/>
  <c r="J229" i="72" s="1"/>
  <c r="J130" i="83"/>
  <c r="J130" i="72" s="1"/>
  <c r="J200" i="72" s="1"/>
  <c r="J230" i="72" s="1"/>
  <c r="J128" i="83"/>
  <c r="J128" i="72" s="1"/>
  <c r="J198" i="72" s="1"/>
  <c r="J228" i="72" s="1"/>
  <c r="J127" i="83"/>
  <c r="J127" i="72" s="1"/>
  <c r="J197" i="72" s="1"/>
  <c r="J227" i="72" s="1"/>
  <c r="J125" i="83"/>
  <c r="J125" i="72" s="1"/>
  <c r="J195" i="72" s="1"/>
  <c r="J225" i="72" s="1"/>
  <c r="R185" i="41"/>
  <c r="AB185" i="41"/>
  <c r="L185" i="41"/>
  <c r="Z185" i="41"/>
  <c r="J185" i="41"/>
  <c r="AN185" i="41"/>
  <c r="Y185" i="41"/>
  <c r="N185" i="41"/>
  <c r="AJ185" i="41"/>
  <c r="Q185" i="41"/>
  <c r="AH185" i="41"/>
  <c r="M185" i="41"/>
  <c r="M298" i="53" l="1"/>
  <c r="M120" i="80" s="1"/>
  <c r="M132" i="80" s="1"/>
  <c r="M274" i="53"/>
  <c r="M72" i="80" s="1"/>
  <c r="M84" i="80" s="1"/>
  <c r="M285" i="53"/>
  <c r="M95" i="80" s="1"/>
  <c r="M107" i="80" s="1"/>
  <c r="M284" i="53"/>
  <c r="K290" i="53"/>
  <c r="K100" i="80" s="1"/>
  <c r="K112" i="80" s="1"/>
  <c r="M288" i="53"/>
  <c r="M99" i="83" s="1"/>
  <c r="M187" i="83" s="1"/>
  <c r="M58" i="71" s="1"/>
  <c r="M163" i="71" s="1"/>
  <c r="M276" i="53"/>
  <c r="M277" i="53"/>
  <c r="M75" i="80" s="1"/>
  <c r="M87" i="80" s="1"/>
  <c r="M295" i="53"/>
  <c r="M107" i="83" s="1"/>
  <c r="M212" i="83" s="1"/>
  <c r="M84" i="71" s="1"/>
  <c r="M189" i="71" s="1"/>
  <c r="M296" i="53"/>
  <c r="M108" i="83" s="1"/>
  <c r="M213" i="83" s="1"/>
  <c r="M85" i="71" s="1"/>
  <c r="M190" i="71" s="1"/>
  <c r="M278" i="53"/>
  <c r="M76" i="80" s="1"/>
  <c r="M88" i="80" s="1"/>
  <c r="M300" i="53"/>
  <c r="M112" i="83" s="1"/>
  <c r="M217" i="83" s="1"/>
  <c r="M89" i="71" s="1"/>
  <c r="M194" i="71" s="1"/>
  <c r="M289" i="53"/>
  <c r="M100" i="83" s="1"/>
  <c r="M188" i="83" s="1"/>
  <c r="M59" i="71" s="1"/>
  <c r="M164" i="71" s="1"/>
  <c r="M291" i="53"/>
  <c r="M301" i="53"/>
  <c r="M123" i="80" s="1"/>
  <c r="M135" i="80" s="1"/>
  <c r="M299" i="53"/>
  <c r="M121" i="80" s="1"/>
  <c r="M133" i="80" s="1"/>
  <c r="M287" i="53"/>
  <c r="M97" i="80" s="1"/>
  <c r="M109" i="80" s="1"/>
  <c r="M294" i="53"/>
  <c r="M106" i="83" s="1"/>
  <c r="M211" i="83" s="1"/>
  <c r="M83" i="71" s="1"/>
  <c r="M188" i="71" s="1"/>
  <c r="M290" i="53"/>
  <c r="M101" i="83" s="1"/>
  <c r="M189" i="83" s="1"/>
  <c r="M60" i="71" s="1"/>
  <c r="M165" i="71" s="1"/>
  <c r="M286" i="53"/>
  <c r="M279" i="53"/>
  <c r="M77" i="80" s="1"/>
  <c r="M89" i="80" s="1"/>
  <c r="M273" i="53"/>
  <c r="M71" i="80" s="1"/>
  <c r="M83" i="80" s="1"/>
  <c r="M297" i="53"/>
  <c r="M119" i="80" s="1"/>
  <c r="M131" i="80" s="1"/>
  <c r="M283" i="53"/>
  <c r="M94" i="83" s="1"/>
  <c r="M182" i="83" s="1"/>
  <c r="M53" i="71" s="1"/>
  <c r="M158" i="71" s="1"/>
  <c r="M280" i="53"/>
  <c r="M90" i="83" s="1"/>
  <c r="M161" i="83" s="1"/>
  <c r="M31" i="71" s="1"/>
  <c r="M136" i="71" s="1"/>
  <c r="M302" i="53"/>
  <c r="M124" i="80" s="1"/>
  <c r="M136" i="80" s="1"/>
  <c r="M272" i="53"/>
  <c r="M70" i="80" s="1"/>
  <c r="M82" i="80" s="1"/>
  <c r="K295" i="53"/>
  <c r="K275" i="53"/>
  <c r="K277" i="53"/>
  <c r="K299" i="53"/>
  <c r="K288" i="53"/>
  <c r="K273" i="53"/>
  <c r="K276" i="53"/>
  <c r="K300" i="53"/>
  <c r="K285" i="53"/>
  <c r="K283" i="53"/>
  <c r="K272" i="53"/>
  <c r="K298" i="53"/>
  <c r="K297" i="53"/>
  <c r="K109" i="83" s="1"/>
  <c r="K214" i="83" s="1"/>
  <c r="K86" i="71" s="1"/>
  <c r="K191" i="71" s="1"/>
  <c r="K284" i="53"/>
  <c r="K94" i="80" s="1"/>
  <c r="K106" i="80" s="1"/>
  <c r="K280" i="53"/>
  <c r="K78" i="80" s="1"/>
  <c r="K90" i="80" s="1"/>
  <c r="K287" i="53"/>
  <c r="K97" i="80" s="1"/>
  <c r="K109" i="80" s="1"/>
  <c r="K301" i="53"/>
  <c r="K123" i="80" s="1"/>
  <c r="K135" i="80" s="1"/>
  <c r="K302" i="53"/>
  <c r="K114" i="83" s="1"/>
  <c r="K219" i="83" s="1"/>
  <c r="K91" i="71" s="1"/>
  <c r="K196" i="71" s="1"/>
  <c r="K278" i="53"/>
  <c r="K291" i="53"/>
  <c r="K118" i="80"/>
  <c r="K130" i="80" s="1"/>
  <c r="K279" i="53"/>
  <c r="K289" i="53"/>
  <c r="K286" i="53"/>
  <c r="K294" i="53"/>
  <c r="K274" i="53"/>
  <c r="K84" i="83" s="1"/>
  <c r="K155" i="83" s="1"/>
  <c r="K25" i="71" s="1"/>
  <c r="K130" i="71" s="1"/>
  <c r="L276" i="53"/>
  <c r="L273" i="53"/>
  <c r="L274" i="53"/>
  <c r="L283" i="53"/>
  <c r="L295" i="53"/>
  <c r="L289" i="53"/>
  <c r="L291" i="53"/>
  <c r="L290" i="53"/>
  <c r="L297" i="53"/>
  <c r="L277" i="53"/>
  <c r="L298" i="53"/>
  <c r="L302" i="53"/>
  <c r="L275" i="53"/>
  <c r="L287" i="53"/>
  <c r="L301" i="53"/>
  <c r="L296" i="53"/>
  <c r="L284" i="53"/>
  <c r="L288" i="53"/>
  <c r="L285" i="53"/>
  <c r="L299" i="53"/>
  <c r="L278" i="53"/>
  <c r="L294" i="53"/>
  <c r="L272" i="53"/>
  <c r="L286" i="53"/>
  <c r="L280" i="53"/>
  <c r="L300" i="53"/>
  <c r="L279" i="53"/>
  <c r="M110" i="83"/>
  <c r="M215" i="83" s="1"/>
  <c r="M87" i="71" s="1"/>
  <c r="M192" i="71" s="1"/>
  <c r="N93" i="83"/>
  <c r="N181" i="83" s="1"/>
  <c r="N52" i="71" s="1"/>
  <c r="N157" i="71" s="1"/>
  <c r="N93" i="80"/>
  <c r="N105" i="80" s="1"/>
  <c r="N94" i="83"/>
  <c r="N182" i="83" s="1"/>
  <c r="N53" i="71" s="1"/>
  <c r="N158" i="71" s="1"/>
  <c r="N116" i="80"/>
  <c r="N128" i="80" s="1"/>
  <c r="N105" i="83"/>
  <c r="N210" i="83" s="1"/>
  <c r="N82" i="71" s="1"/>
  <c r="N187" i="71" s="1"/>
  <c r="N106" i="83"/>
  <c r="N211" i="83" s="1"/>
  <c r="N83" i="71" s="1"/>
  <c r="N188" i="71" s="1"/>
  <c r="N98" i="80"/>
  <c r="N110" i="80" s="1"/>
  <c r="N99" i="83"/>
  <c r="N187" i="83" s="1"/>
  <c r="N58" i="71" s="1"/>
  <c r="N163" i="71" s="1"/>
  <c r="N96" i="83"/>
  <c r="N184" i="83" s="1"/>
  <c r="N55" i="71" s="1"/>
  <c r="N160" i="71" s="1"/>
  <c r="N95" i="80"/>
  <c r="N107" i="80" s="1"/>
  <c r="P117" i="80"/>
  <c r="P129" i="80" s="1"/>
  <c r="P107" i="83"/>
  <c r="P212" i="83" s="1"/>
  <c r="P84" i="71" s="1"/>
  <c r="P189" i="71" s="1"/>
  <c r="P116" i="80"/>
  <c r="P128" i="80" s="1"/>
  <c r="P106" i="83"/>
  <c r="P211" i="83" s="1"/>
  <c r="P83" i="71" s="1"/>
  <c r="P188" i="71" s="1"/>
  <c r="P105" i="83"/>
  <c r="P210" i="83" s="1"/>
  <c r="P82" i="71" s="1"/>
  <c r="P187" i="71" s="1"/>
  <c r="P83" i="83"/>
  <c r="P154" i="83" s="1"/>
  <c r="P24" i="71" s="1"/>
  <c r="P129" i="71" s="1"/>
  <c r="P71" i="80"/>
  <c r="P83" i="80" s="1"/>
  <c r="O94" i="80"/>
  <c r="O106" i="80" s="1"/>
  <c r="O95" i="83"/>
  <c r="O183" i="83" s="1"/>
  <c r="O54" i="71" s="1"/>
  <c r="O159" i="71" s="1"/>
  <c r="O117" i="80"/>
  <c r="O129" i="80" s="1"/>
  <c r="O107" i="83"/>
  <c r="O212" i="83" s="1"/>
  <c r="O84" i="71" s="1"/>
  <c r="O189" i="71" s="1"/>
  <c r="O85" i="83"/>
  <c r="O156" i="83" s="1"/>
  <c r="O26" i="71" s="1"/>
  <c r="O131" i="71" s="1"/>
  <c r="O73" i="80"/>
  <c r="O85" i="80" s="1"/>
  <c r="O102" i="83"/>
  <c r="O190" i="83" s="1"/>
  <c r="O61" i="71" s="1"/>
  <c r="O166" i="71" s="1"/>
  <c r="O101" i="80"/>
  <c r="O113" i="80" s="1"/>
  <c r="N94" i="80"/>
  <c r="N106" i="80" s="1"/>
  <c r="N95" i="83"/>
  <c r="N183" i="83" s="1"/>
  <c r="N54" i="71" s="1"/>
  <c r="N159" i="71" s="1"/>
  <c r="N122" i="80"/>
  <c r="N134" i="80" s="1"/>
  <c r="N112" i="83"/>
  <c r="N217" i="83" s="1"/>
  <c r="N89" i="71" s="1"/>
  <c r="N194" i="71" s="1"/>
  <c r="N76" i="80"/>
  <c r="N88" i="80" s="1"/>
  <c r="N88" i="83"/>
  <c r="N159" i="83" s="1"/>
  <c r="N29" i="71" s="1"/>
  <c r="N134" i="71" s="1"/>
  <c r="N96" i="80"/>
  <c r="N108" i="80" s="1"/>
  <c r="N97" i="83"/>
  <c r="N185" i="83" s="1"/>
  <c r="N56" i="71" s="1"/>
  <c r="N161" i="71" s="1"/>
  <c r="P121" i="80"/>
  <c r="P133" i="80" s="1"/>
  <c r="P111" i="83"/>
  <c r="P216" i="83" s="1"/>
  <c r="P88" i="71" s="1"/>
  <c r="P193" i="71" s="1"/>
  <c r="P118" i="80"/>
  <c r="P130" i="80" s="1"/>
  <c r="P108" i="83"/>
  <c r="P213" i="83" s="1"/>
  <c r="P85" i="71" s="1"/>
  <c r="P190" i="71" s="1"/>
  <c r="P112" i="83"/>
  <c r="P217" i="83" s="1"/>
  <c r="P89" i="71" s="1"/>
  <c r="P194" i="71" s="1"/>
  <c r="P122" i="80"/>
  <c r="P134" i="80" s="1"/>
  <c r="O114" i="83"/>
  <c r="O219" i="83" s="1"/>
  <c r="O91" i="71" s="1"/>
  <c r="O196" i="71" s="1"/>
  <c r="O124" i="80"/>
  <c r="O136" i="80" s="1"/>
  <c r="O99" i="83"/>
  <c r="O187" i="83" s="1"/>
  <c r="O58" i="71" s="1"/>
  <c r="O163" i="71" s="1"/>
  <c r="O98" i="80"/>
  <c r="O110" i="80" s="1"/>
  <c r="O121" i="80"/>
  <c r="O133" i="80" s="1"/>
  <c r="O111" i="83"/>
  <c r="O216" i="83" s="1"/>
  <c r="O88" i="71" s="1"/>
  <c r="O193" i="71" s="1"/>
  <c r="O100" i="83"/>
  <c r="O188" i="83" s="1"/>
  <c r="O59" i="71" s="1"/>
  <c r="O164" i="71" s="1"/>
  <c r="O99" i="80"/>
  <c r="O111" i="80" s="1"/>
  <c r="P70" i="80"/>
  <c r="P82" i="80" s="1"/>
  <c r="P81" i="83"/>
  <c r="P152" i="83" s="1"/>
  <c r="P82" i="83"/>
  <c r="P153" i="83" s="1"/>
  <c r="P23" i="71" s="1"/>
  <c r="P128" i="71" s="1"/>
  <c r="J297" i="53"/>
  <c r="J302" i="53"/>
  <c r="J288" i="53"/>
  <c r="J301" i="53"/>
  <c r="J300" i="53"/>
  <c r="J279" i="53"/>
  <c r="J276" i="53"/>
  <c r="J283" i="53"/>
  <c r="J291" i="53"/>
  <c r="J286" i="53"/>
  <c r="J285" i="53"/>
  <c r="J294" i="53"/>
  <c r="J274" i="53"/>
  <c r="J290" i="53"/>
  <c r="J298" i="53"/>
  <c r="J272" i="53"/>
  <c r="J295" i="53"/>
  <c r="J296" i="53"/>
  <c r="J287" i="53"/>
  <c r="J289" i="53"/>
  <c r="J275" i="53"/>
  <c r="J284" i="53"/>
  <c r="J278" i="53"/>
  <c r="J273" i="53"/>
  <c r="J299" i="53"/>
  <c r="J277" i="53"/>
  <c r="J280" i="53"/>
  <c r="N81" i="83"/>
  <c r="N152" i="83" s="1"/>
  <c r="N70" i="80"/>
  <c r="N82" i="80" s="1"/>
  <c r="N82" i="83"/>
  <c r="N153" i="83" s="1"/>
  <c r="N23" i="71" s="1"/>
  <c r="N128" i="71" s="1"/>
  <c r="N97" i="80"/>
  <c r="N109" i="80" s="1"/>
  <c r="N98" i="83"/>
  <c r="N186" i="83" s="1"/>
  <c r="N57" i="71" s="1"/>
  <c r="N162" i="71" s="1"/>
  <c r="N83" i="83"/>
  <c r="N154" i="83" s="1"/>
  <c r="N24" i="71" s="1"/>
  <c r="N129" i="71" s="1"/>
  <c r="N71" i="80"/>
  <c r="N83" i="80" s="1"/>
  <c r="P75" i="80"/>
  <c r="P87" i="80" s="1"/>
  <c r="P87" i="83"/>
  <c r="P158" i="83" s="1"/>
  <c r="P28" i="71" s="1"/>
  <c r="P133" i="71" s="1"/>
  <c r="P119" i="80"/>
  <c r="P131" i="80" s="1"/>
  <c r="P109" i="83"/>
  <c r="P214" i="83" s="1"/>
  <c r="P86" i="71" s="1"/>
  <c r="P191" i="71" s="1"/>
  <c r="P96" i="83"/>
  <c r="P184" i="83" s="1"/>
  <c r="P55" i="71" s="1"/>
  <c r="P160" i="71" s="1"/>
  <c r="P95" i="80"/>
  <c r="P107" i="80" s="1"/>
  <c r="O113" i="83"/>
  <c r="O218" i="83" s="1"/>
  <c r="O90" i="71" s="1"/>
  <c r="O195" i="71" s="1"/>
  <c r="O123" i="80"/>
  <c r="O135" i="80" s="1"/>
  <c r="O106" i="83"/>
  <c r="O211" i="83" s="1"/>
  <c r="O83" i="71" s="1"/>
  <c r="O188" i="71" s="1"/>
  <c r="O105" i="83"/>
  <c r="O210" i="83" s="1"/>
  <c r="O82" i="71" s="1"/>
  <c r="O187" i="71" s="1"/>
  <c r="O116" i="80"/>
  <c r="O128" i="80" s="1"/>
  <c r="O97" i="80"/>
  <c r="O109" i="80" s="1"/>
  <c r="O98" i="83"/>
  <c r="O186" i="83" s="1"/>
  <c r="O57" i="71" s="1"/>
  <c r="O162" i="71" s="1"/>
  <c r="O112" i="83"/>
  <c r="O217" i="83" s="1"/>
  <c r="O89" i="71" s="1"/>
  <c r="O194" i="71" s="1"/>
  <c r="O122" i="80"/>
  <c r="O134" i="80" s="1"/>
  <c r="N78" i="80"/>
  <c r="N90" i="80" s="1"/>
  <c r="N90" i="83"/>
  <c r="N161" i="83" s="1"/>
  <c r="N31" i="71" s="1"/>
  <c r="N136" i="71" s="1"/>
  <c r="N111" i="83"/>
  <c r="N216" i="83" s="1"/>
  <c r="N88" i="71" s="1"/>
  <c r="N193" i="71" s="1"/>
  <c r="N121" i="80"/>
  <c r="N133" i="80" s="1"/>
  <c r="N73" i="80"/>
  <c r="N85" i="80" s="1"/>
  <c r="N85" i="83"/>
  <c r="N156" i="83" s="1"/>
  <c r="N26" i="71" s="1"/>
  <c r="N131" i="71" s="1"/>
  <c r="P123" i="80"/>
  <c r="P135" i="80" s="1"/>
  <c r="P113" i="83"/>
  <c r="P218" i="83" s="1"/>
  <c r="P90" i="71" s="1"/>
  <c r="P195" i="71" s="1"/>
  <c r="P94" i="83"/>
  <c r="P182" i="83" s="1"/>
  <c r="P53" i="71" s="1"/>
  <c r="P158" i="71" s="1"/>
  <c r="P93" i="80"/>
  <c r="P105" i="80" s="1"/>
  <c r="P93" i="83"/>
  <c r="P181" i="83" s="1"/>
  <c r="P52" i="71" s="1"/>
  <c r="P157" i="71" s="1"/>
  <c r="P114" i="83"/>
  <c r="P219" i="83" s="1"/>
  <c r="P91" i="71" s="1"/>
  <c r="P196" i="71" s="1"/>
  <c r="P124" i="80"/>
  <c r="P136" i="80" s="1"/>
  <c r="O84" i="83"/>
  <c r="O155" i="83" s="1"/>
  <c r="O25" i="71" s="1"/>
  <c r="O130" i="71" s="1"/>
  <c r="O72" i="80"/>
  <c r="O84" i="80" s="1"/>
  <c r="O95" i="80"/>
  <c r="O107" i="80" s="1"/>
  <c r="O96" i="83"/>
  <c r="O184" i="83" s="1"/>
  <c r="O55" i="71" s="1"/>
  <c r="O160" i="71" s="1"/>
  <c r="O89" i="83"/>
  <c r="O160" i="83" s="1"/>
  <c r="O30" i="71" s="1"/>
  <c r="O135" i="71" s="1"/>
  <c r="O77" i="80"/>
  <c r="O89" i="80" s="1"/>
  <c r="N118" i="80"/>
  <c r="N130" i="80" s="1"/>
  <c r="N108" i="83"/>
  <c r="N213" i="83" s="1"/>
  <c r="N85" i="71" s="1"/>
  <c r="N190" i="71" s="1"/>
  <c r="N100" i="80"/>
  <c r="N112" i="80" s="1"/>
  <c r="N101" i="83"/>
  <c r="N189" i="83" s="1"/>
  <c r="N60" i="71" s="1"/>
  <c r="N165" i="71" s="1"/>
  <c r="N74" i="80"/>
  <c r="N86" i="80" s="1"/>
  <c r="N86" i="83"/>
  <c r="N157" i="83" s="1"/>
  <c r="N27" i="71" s="1"/>
  <c r="N132" i="71" s="1"/>
  <c r="P89" i="83"/>
  <c r="P160" i="83" s="1"/>
  <c r="P30" i="71" s="1"/>
  <c r="P135" i="71" s="1"/>
  <c r="P77" i="80"/>
  <c r="P89" i="80" s="1"/>
  <c r="P100" i="80"/>
  <c r="P112" i="80" s="1"/>
  <c r="P101" i="83"/>
  <c r="P189" i="83" s="1"/>
  <c r="P60" i="71" s="1"/>
  <c r="P165" i="71" s="1"/>
  <c r="P94" i="80"/>
  <c r="P106" i="80" s="1"/>
  <c r="P95" i="83"/>
  <c r="P183" i="83" s="1"/>
  <c r="P54" i="71" s="1"/>
  <c r="P159" i="71" s="1"/>
  <c r="O88" i="83"/>
  <c r="O159" i="83" s="1"/>
  <c r="O29" i="71" s="1"/>
  <c r="O134" i="71" s="1"/>
  <c r="O76" i="80"/>
  <c r="O88" i="80" s="1"/>
  <c r="O118" i="80"/>
  <c r="O130" i="80" s="1"/>
  <c r="O108" i="83"/>
  <c r="O213" i="83" s="1"/>
  <c r="O85" i="71" s="1"/>
  <c r="O190" i="71" s="1"/>
  <c r="O81" i="83"/>
  <c r="O152" i="83" s="1"/>
  <c r="O70" i="80"/>
  <c r="O82" i="80" s="1"/>
  <c r="O82" i="83"/>
  <c r="O153" i="83" s="1"/>
  <c r="O23" i="71" s="1"/>
  <c r="O128" i="71" s="1"/>
  <c r="N100" i="83"/>
  <c r="N188" i="83" s="1"/>
  <c r="N59" i="71" s="1"/>
  <c r="N164" i="71" s="1"/>
  <c r="N99" i="80"/>
  <c r="N111" i="80" s="1"/>
  <c r="N75" i="80"/>
  <c r="N87" i="80" s="1"/>
  <c r="N87" i="83"/>
  <c r="N158" i="83" s="1"/>
  <c r="N28" i="71" s="1"/>
  <c r="N133" i="71" s="1"/>
  <c r="N120" i="80"/>
  <c r="N132" i="80" s="1"/>
  <c r="N110" i="83"/>
  <c r="N215" i="83" s="1"/>
  <c r="N87" i="71" s="1"/>
  <c r="N192" i="71" s="1"/>
  <c r="P120" i="80"/>
  <c r="P132" i="80" s="1"/>
  <c r="P110" i="83"/>
  <c r="P215" i="83" s="1"/>
  <c r="P87" i="71" s="1"/>
  <c r="P192" i="71" s="1"/>
  <c r="P100" i="83"/>
  <c r="P188" i="83" s="1"/>
  <c r="P59" i="71" s="1"/>
  <c r="P164" i="71" s="1"/>
  <c r="P99" i="80"/>
  <c r="P111" i="80" s="1"/>
  <c r="P73" i="80"/>
  <c r="P85" i="80" s="1"/>
  <c r="P85" i="83"/>
  <c r="P156" i="83" s="1"/>
  <c r="P26" i="71" s="1"/>
  <c r="P131" i="71" s="1"/>
  <c r="O90" i="83"/>
  <c r="O161" i="83" s="1"/>
  <c r="O31" i="71" s="1"/>
  <c r="O136" i="71" s="1"/>
  <c r="O78" i="80"/>
  <c r="O90" i="80" s="1"/>
  <c r="O93" i="83"/>
  <c r="O181" i="83" s="1"/>
  <c r="O52" i="71" s="1"/>
  <c r="O157" i="71" s="1"/>
  <c r="O93" i="80"/>
  <c r="O105" i="80" s="1"/>
  <c r="O94" i="83"/>
  <c r="O182" i="83" s="1"/>
  <c r="O53" i="71" s="1"/>
  <c r="O158" i="71" s="1"/>
  <c r="O100" i="80"/>
  <c r="O112" i="80" s="1"/>
  <c r="O101" i="83"/>
  <c r="O189" i="83" s="1"/>
  <c r="O60" i="71" s="1"/>
  <c r="O165" i="71" s="1"/>
  <c r="N77" i="80"/>
  <c r="N89" i="80" s="1"/>
  <c r="N89" i="83"/>
  <c r="N160" i="83" s="1"/>
  <c r="N30" i="71" s="1"/>
  <c r="N135" i="71" s="1"/>
  <c r="N119" i="80"/>
  <c r="N131" i="80" s="1"/>
  <c r="N109" i="83"/>
  <c r="N214" i="83" s="1"/>
  <c r="N86" i="71" s="1"/>
  <c r="N191" i="71" s="1"/>
  <c r="N113" i="83"/>
  <c r="N218" i="83" s="1"/>
  <c r="N90" i="71" s="1"/>
  <c r="N195" i="71" s="1"/>
  <c r="N123" i="80"/>
  <c r="N135" i="80" s="1"/>
  <c r="P97" i="83"/>
  <c r="P185" i="83" s="1"/>
  <c r="P56" i="71" s="1"/>
  <c r="P161" i="71" s="1"/>
  <c r="P96" i="80"/>
  <c r="P108" i="80" s="1"/>
  <c r="P101" i="80"/>
  <c r="P113" i="80" s="1"/>
  <c r="P102" i="83"/>
  <c r="P190" i="83" s="1"/>
  <c r="P61" i="71" s="1"/>
  <c r="P166" i="71" s="1"/>
  <c r="P72" i="80"/>
  <c r="P84" i="80" s="1"/>
  <c r="P84" i="83"/>
  <c r="P155" i="83" s="1"/>
  <c r="P25" i="71" s="1"/>
  <c r="P130" i="71" s="1"/>
  <c r="P98" i="83"/>
  <c r="P186" i="83" s="1"/>
  <c r="P57" i="71" s="1"/>
  <c r="P162" i="71" s="1"/>
  <c r="P97" i="80"/>
  <c r="P109" i="80" s="1"/>
  <c r="O119" i="80"/>
  <c r="O131" i="80" s="1"/>
  <c r="O109" i="83"/>
  <c r="O214" i="83" s="1"/>
  <c r="O86" i="71" s="1"/>
  <c r="O191" i="71" s="1"/>
  <c r="O71" i="80"/>
  <c r="O83" i="80" s="1"/>
  <c r="O83" i="83"/>
  <c r="O154" i="83" s="1"/>
  <c r="O24" i="71" s="1"/>
  <c r="O129" i="71" s="1"/>
  <c r="O96" i="80"/>
  <c r="O108" i="80" s="1"/>
  <c r="O97" i="83"/>
  <c r="O185" i="83" s="1"/>
  <c r="O56" i="71" s="1"/>
  <c r="O161" i="71" s="1"/>
  <c r="N124" i="80"/>
  <c r="N136" i="80" s="1"/>
  <c r="N114" i="83"/>
  <c r="N219" i="83" s="1"/>
  <c r="N91" i="71" s="1"/>
  <c r="N196" i="71" s="1"/>
  <c r="N72" i="80"/>
  <c r="N84" i="80" s="1"/>
  <c r="N84" i="83"/>
  <c r="N155" i="83" s="1"/>
  <c r="N25" i="71" s="1"/>
  <c r="N130" i="71" s="1"/>
  <c r="N102" i="83"/>
  <c r="N190" i="83" s="1"/>
  <c r="N61" i="71" s="1"/>
  <c r="N166" i="71" s="1"/>
  <c r="N101" i="80"/>
  <c r="N113" i="80" s="1"/>
  <c r="N107" i="83"/>
  <c r="N212" i="83" s="1"/>
  <c r="N84" i="71" s="1"/>
  <c r="N189" i="71" s="1"/>
  <c r="N117" i="80"/>
  <c r="N129" i="80" s="1"/>
  <c r="P78" i="80"/>
  <c r="P90" i="80" s="1"/>
  <c r="P90" i="83"/>
  <c r="P161" i="83" s="1"/>
  <c r="P31" i="71" s="1"/>
  <c r="P136" i="71" s="1"/>
  <c r="P76" i="80"/>
  <c r="P88" i="80" s="1"/>
  <c r="P88" i="83"/>
  <c r="P159" i="83" s="1"/>
  <c r="P29" i="71" s="1"/>
  <c r="P134" i="71" s="1"/>
  <c r="P86" i="83"/>
  <c r="P157" i="83" s="1"/>
  <c r="P27" i="71" s="1"/>
  <c r="P132" i="71" s="1"/>
  <c r="P74" i="80"/>
  <c r="P86" i="80" s="1"/>
  <c r="P98" i="80"/>
  <c r="P110" i="80" s="1"/>
  <c r="P99" i="83"/>
  <c r="P187" i="83" s="1"/>
  <c r="P58" i="71" s="1"/>
  <c r="P163" i="71" s="1"/>
  <c r="O75" i="80"/>
  <c r="O87" i="80" s="1"/>
  <c r="O87" i="83"/>
  <c r="O158" i="83" s="1"/>
  <c r="O28" i="71" s="1"/>
  <c r="O133" i="71" s="1"/>
  <c r="O120" i="80"/>
  <c r="O132" i="80" s="1"/>
  <c r="O110" i="83"/>
  <c r="O215" i="83" s="1"/>
  <c r="O87" i="71" s="1"/>
  <c r="O192" i="71" s="1"/>
  <c r="O74" i="80"/>
  <c r="O86" i="80" s="1"/>
  <c r="O86" i="83"/>
  <c r="O157" i="83" s="1"/>
  <c r="O27" i="71" s="1"/>
  <c r="O132" i="71" s="1"/>
  <c r="H187" i="41"/>
  <c r="J189" i="41" s="1"/>
  <c r="M113" i="83" l="1"/>
  <c r="M218" i="83" s="1"/>
  <c r="M90" i="71" s="1"/>
  <c r="M195" i="71" s="1"/>
  <c r="M98" i="80"/>
  <c r="M110" i="80" s="1"/>
  <c r="M147" i="80" s="1"/>
  <c r="M173" i="80" s="1"/>
  <c r="M274" i="80" s="1"/>
  <c r="M122" i="80"/>
  <c r="M134" i="80" s="1"/>
  <c r="M84" i="83"/>
  <c r="M155" i="83" s="1"/>
  <c r="M25" i="71" s="1"/>
  <c r="M130" i="71" s="1"/>
  <c r="M96" i="83"/>
  <c r="M184" i="83" s="1"/>
  <c r="M55" i="71" s="1"/>
  <c r="M160" i="71" s="1"/>
  <c r="M99" i="80"/>
  <c r="M111" i="80" s="1"/>
  <c r="M83" i="83"/>
  <c r="M154" i="83" s="1"/>
  <c r="M24" i="71" s="1"/>
  <c r="M129" i="71" s="1"/>
  <c r="M109" i="83"/>
  <c r="M214" i="83" s="1"/>
  <c r="M86" i="71" s="1"/>
  <c r="M191" i="71" s="1"/>
  <c r="K101" i="83"/>
  <c r="K189" i="83" s="1"/>
  <c r="K60" i="71" s="1"/>
  <c r="K165" i="71" s="1"/>
  <c r="M98" i="83"/>
  <c r="M186" i="83" s="1"/>
  <c r="M57" i="71" s="1"/>
  <c r="M162" i="71" s="1"/>
  <c r="M117" i="80"/>
  <c r="M129" i="80" s="1"/>
  <c r="M116" i="80"/>
  <c r="M128" i="80" s="1"/>
  <c r="M87" i="83"/>
  <c r="M158" i="83" s="1"/>
  <c r="M28" i="71" s="1"/>
  <c r="M133" i="71" s="1"/>
  <c r="M105" i="83"/>
  <c r="M210" i="83" s="1"/>
  <c r="M82" i="71" s="1"/>
  <c r="M187" i="71" s="1"/>
  <c r="M118" i="80"/>
  <c r="M130" i="80" s="1"/>
  <c r="M144" i="80" s="1"/>
  <c r="M170" i="80" s="1"/>
  <c r="M271" i="80" s="1"/>
  <c r="M78" i="80"/>
  <c r="M90" i="80" s="1"/>
  <c r="M88" i="83"/>
  <c r="M159" i="83" s="1"/>
  <c r="M29" i="71" s="1"/>
  <c r="M134" i="71" s="1"/>
  <c r="M81" i="83"/>
  <c r="M152" i="83" s="1"/>
  <c r="M22" i="71" s="1"/>
  <c r="M127" i="71" s="1"/>
  <c r="M100" i="80"/>
  <c r="M112" i="80" s="1"/>
  <c r="M149" i="80" s="1"/>
  <c r="M175" i="80" s="1"/>
  <c r="M276" i="80" s="1"/>
  <c r="M82" i="83"/>
  <c r="M153" i="83" s="1"/>
  <c r="M23" i="71" s="1"/>
  <c r="M128" i="71" s="1"/>
  <c r="M95" i="83"/>
  <c r="M183" i="83" s="1"/>
  <c r="M54" i="71" s="1"/>
  <c r="M159" i="71" s="1"/>
  <c r="M94" i="80"/>
  <c r="M106" i="80" s="1"/>
  <c r="M114" i="83"/>
  <c r="M219" i="83" s="1"/>
  <c r="M91" i="71" s="1"/>
  <c r="M196" i="71" s="1"/>
  <c r="M111" i="83"/>
  <c r="M216" i="83" s="1"/>
  <c r="M88" i="71" s="1"/>
  <c r="M193" i="71" s="1"/>
  <c r="M86" i="83"/>
  <c r="M157" i="83" s="1"/>
  <c r="M27" i="71" s="1"/>
  <c r="M132" i="71" s="1"/>
  <c r="M74" i="80"/>
  <c r="M86" i="80" s="1"/>
  <c r="M146" i="80" s="1"/>
  <c r="M172" i="80" s="1"/>
  <c r="M273" i="80" s="1"/>
  <c r="M89" i="83"/>
  <c r="M160" i="83" s="1"/>
  <c r="M30" i="71" s="1"/>
  <c r="M135" i="71" s="1"/>
  <c r="M101" i="80"/>
  <c r="M113" i="80" s="1"/>
  <c r="M102" i="83"/>
  <c r="M190" i="83" s="1"/>
  <c r="M61" i="71" s="1"/>
  <c r="M166" i="71" s="1"/>
  <c r="M93" i="83"/>
  <c r="M181" i="83" s="1"/>
  <c r="M52" i="71" s="1"/>
  <c r="M157" i="71" s="1"/>
  <c r="M93" i="80"/>
  <c r="M105" i="80" s="1"/>
  <c r="K95" i="83"/>
  <c r="K183" i="83" s="1"/>
  <c r="K54" i="71" s="1"/>
  <c r="K159" i="71" s="1"/>
  <c r="K119" i="80"/>
  <c r="K131" i="80" s="1"/>
  <c r="M96" i="80"/>
  <c r="M108" i="80" s="1"/>
  <c r="M145" i="80" s="1"/>
  <c r="M171" i="80" s="1"/>
  <c r="M272" i="80" s="1"/>
  <c r="M97" i="83"/>
  <c r="M185" i="83" s="1"/>
  <c r="M56" i="71" s="1"/>
  <c r="M161" i="71" s="1"/>
  <c r="K72" i="80"/>
  <c r="K84" i="80" s="1"/>
  <c r="K124" i="80"/>
  <c r="K136" i="80" s="1"/>
  <c r="K90" i="83"/>
  <c r="K161" i="83" s="1"/>
  <c r="K31" i="71" s="1"/>
  <c r="K136" i="71" s="1"/>
  <c r="K113" i="83"/>
  <c r="K218" i="83" s="1"/>
  <c r="K90" i="71" s="1"/>
  <c r="K195" i="71" s="1"/>
  <c r="K96" i="80"/>
  <c r="K108" i="80" s="1"/>
  <c r="K97" i="83"/>
  <c r="K185" i="83" s="1"/>
  <c r="K56" i="71" s="1"/>
  <c r="K161" i="71" s="1"/>
  <c r="K122" i="80"/>
  <c r="K134" i="80" s="1"/>
  <c r="K112" i="83"/>
  <c r="K217" i="83" s="1"/>
  <c r="K89" i="71" s="1"/>
  <c r="K194" i="71" s="1"/>
  <c r="K100" i="83"/>
  <c r="K188" i="83" s="1"/>
  <c r="K59" i="71" s="1"/>
  <c r="K164" i="71" s="1"/>
  <c r="K99" i="80"/>
  <c r="K111" i="80" s="1"/>
  <c r="K74" i="80"/>
  <c r="K86" i="80" s="1"/>
  <c r="K86" i="83"/>
  <c r="K157" i="83" s="1"/>
  <c r="K27" i="71" s="1"/>
  <c r="K132" i="71" s="1"/>
  <c r="K77" i="80"/>
  <c r="K89" i="80" s="1"/>
  <c r="K149" i="80" s="1"/>
  <c r="K175" i="80" s="1"/>
  <c r="K276" i="80" s="1"/>
  <c r="K89" i="83"/>
  <c r="K160" i="83" s="1"/>
  <c r="K30" i="71" s="1"/>
  <c r="K135" i="71" s="1"/>
  <c r="K71" i="80"/>
  <c r="K83" i="80" s="1"/>
  <c r="K83" i="83"/>
  <c r="K154" i="83" s="1"/>
  <c r="K24" i="71" s="1"/>
  <c r="K129" i="71" s="1"/>
  <c r="K98" i="80"/>
  <c r="K110" i="80" s="1"/>
  <c r="K99" i="83"/>
  <c r="K187" i="83" s="1"/>
  <c r="K58" i="71" s="1"/>
  <c r="K163" i="71" s="1"/>
  <c r="K98" i="83"/>
  <c r="K186" i="83" s="1"/>
  <c r="K57" i="71" s="1"/>
  <c r="K162" i="71" s="1"/>
  <c r="K101" i="80"/>
  <c r="K113" i="80" s="1"/>
  <c r="K102" i="83"/>
  <c r="K190" i="83" s="1"/>
  <c r="K61" i="71" s="1"/>
  <c r="K166" i="71" s="1"/>
  <c r="K110" i="83"/>
  <c r="K215" i="83" s="1"/>
  <c r="K87" i="71" s="1"/>
  <c r="K192" i="71" s="1"/>
  <c r="K120" i="80"/>
  <c r="K132" i="80" s="1"/>
  <c r="K111" i="83"/>
  <c r="K216" i="83" s="1"/>
  <c r="K88" i="71" s="1"/>
  <c r="K193" i="71" s="1"/>
  <c r="K121" i="80"/>
  <c r="K133" i="80" s="1"/>
  <c r="K76" i="80"/>
  <c r="K88" i="80" s="1"/>
  <c r="K88" i="83"/>
  <c r="K159" i="83" s="1"/>
  <c r="K29" i="71" s="1"/>
  <c r="K134" i="71" s="1"/>
  <c r="K70" i="80"/>
  <c r="K82" i="80" s="1"/>
  <c r="K82" i="83"/>
  <c r="K153" i="83" s="1"/>
  <c r="K23" i="71" s="1"/>
  <c r="K128" i="71" s="1"/>
  <c r="K81" i="83"/>
  <c r="K152" i="83" s="1"/>
  <c r="K22" i="71" s="1"/>
  <c r="K127" i="71" s="1"/>
  <c r="K87" i="83"/>
  <c r="K158" i="83" s="1"/>
  <c r="K28" i="71" s="1"/>
  <c r="K133" i="71" s="1"/>
  <c r="K75" i="80"/>
  <c r="K87" i="80" s="1"/>
  <c r="K94" i="83"/>
  <c r="K182" i="83" s="1"/>
  <c r="K53" i="71" s="1"/>
  <c r="K158" i="71" s="1"/>
  <c r="K93" i="80"/>
  <c r="K105" i="80" s="1"/>
  <c r="K93" i="83"/>
  <c r="K181" i="83" s="1"/>
  <c r="K52" i="71" s="1"/>
  <c r="K157" i="71" s="1"/>
  <c r="K85" i="83"/>
  <c r="K156" i="83" s="1"/>
  <c r="K26" i="71" s="1"/>
  <c r="K131" i="71" s="1"/>
  <c r="K73" i="80"/>
  <c r="K85" i="80" s="1"/>
  <c r="K116" i="80"/>
  <c r="K128" i="80" s="1"/>
  <c r="K106" i="83"/>
  <c r="K211" i="83" s="1"/>
  <c r="K83" i="71" s="1"/>
  <c r="K188" i="71" s="1"/>
  <c r="K105" i="83"/>
  <c r="K210" i="83" s="1"/>
  <c r="K82" i="71" s="1"/>
  <c r="K187" i="71" s="1"/>
  <c r="K95" i="80"/>
  <c r="K107" i="80" s="1"/>
  <c r="K144" i="80" s="1"/>
  <c r="K170" i="80" s="1"/>
  <c r="K271" i="80" s="1"/>
  <c r="K96" i="83"/>
  <c r="K184" i="83" s="1"/>
  <c r="K55" i="71" s="1"/>
  <c r="K160" i="71" s="1"/>
  <c r="K117" i="80"/>
  <c r="K129" i="80" s="1"/>
  <c r="K107" i="83"/>
  <c r="K212" i="83" s="1"/>
  <c r="K84" i="71" s="1"/>
  <c r="K189" i="71" s="1"/>
  <c r="L81" i="83"/>
  <c r="L152" i="83" s="1"/>
  <c r="L22" i="71" s="1"/>
  <c r="L127" i="71" s="1"/>
  <c r="L70" i="80"/>
  <c r="L82" i="80" s="1"/>
  <c r="L82" i="83"/>
  <c r="L153" i="83" s="1"/>
  <c r="L23" i="71" s="1"/>
  <c r="L128" i="71" s="1"/>
  <c r="L123" i="80"/>
  <c r="L135" i="80" s="1"/>
  <c r="L113" i="83"/>
  <c r="L218" i="83" s="1"/>
  <c r="L90" i="71" s="1"/>
  <c r="L195" i="71" s="1"/>
  <c r="L101" i="80"/>
  <c r="L113" i="80" s="1"/>
  <c r="L102" i="83"/>
  <c r="L190" i="83" s="1"/>
  <c r="L61" i="71" s="1"/>
  <c r="L166" i="71" s="1"/>
  <c r="L96" i="80"/>
  <c r="L108" i="80" s="1"/>
  <c r="L97" i="83"/>
  <c r="L185" i="83" s="1"/>
  <c r="L56" i="71" s="1"/>
  <c r="L161" i="71" s="1"/>
  <c r="L116" i="80"/>
  <c r="L128" i="80" s="1"/>
  <c r="L106" i="83"/>
  <c r="L211" i="83" s="1"/>
  <c r="L83" i="71" s="1"/>
  <c r="L188" i="71" s="1"/>
  <c r="L105" i="83"/>
  <c r="L210" i="83" s="1"/>
  <c r="L82" i="71" s="1"/>
  <c r="L187" i="71" s="1"/>
  <c r="L97" i="80"/>
  <c r="L109" i="80" s="1"/>
  <c r="L98" i="83"/>
  <c r="L186" i="83" s="1"/>
  <c r="L57" i="71" s="1"/>
  <c r="L162" i="71" s="1"/>
  <c r="L100" i="83"/>
  <c r="L188" i="83" s="1"/>
  <c r="L59" i="71" s="1"/>
  <c r="L164" i="71" s="1"/>
  <c r="L99" i="80"/>
  <c r="L111" i="80" s="1"/>
  <c r="L88" i="83"/>
  <c r="L159" i="83" s="1"/>
  <c r="L29" i="71" s="1"/>
  <c r="L134" i="71" s="1"/>
  <c r="L76" i="80"/>
  <c r="L88" i="80" s="1"/>
  <c r="L73" i="80"/>
  <c r="L85" i="80" s="1"/>
  <c r="L85" i="83"/>
  <c r="L156" i="83" s="1"/>
  <c r="L26" i="71" s="1"/>
  <c r="L131" i="71" s="1"/>
  <c r="L117" i="80"/>
  <c r="L129" i="80" s="1"/>
  <c r="L107" i="83"/>
  <c r="L212" i="83" s="1"/>
  <c r="L84" i="71" s="1"/>
  <c r="L189" i="71" s="1"/>
  <c r="L111" i="83"/>
  <c r="L216" i="83" s="1"/>
  <c r="L88" i="71" s="1"/>
  <c r="L193" i="71" s="1"/>
  <c r="L121" i="80"/>
  <c r="L133" i="80" s="1"/>
  <c r="L124" i="80"/>
  <c r="L136" i="80" s="1"/>
  <c r="L114" i="83"/>
  <c r="L219" i="83" s="1"/>
  <c r="L91" i="71" s="1"/>
  <c r="L196" i="71" s="1"/>
  <c r="L93" i="80"/>
  <c r="L105" i="80" s="1"/>
  <c r="L93" i="83"/>
  <c r="L181" i="83" s="1"/>
  <c r="L52" i="71" s="1"/>
  <c r="L157" i="71" s="1"/>
  <c r="L94" i="83"/>
  <c r="L182" i="83" s="1"/>
  <c r="L53" i="71" s="1"/>
  <c r="L158" i="71" s="1"/>
  <c r="L101" i="83"/>
  <c r="L189" i="83" s="1"/>
  <c r="L60" i="71" s="1"/>
  <c r="L165" i="71" s="1"/>
  <c r="L100" i="80"/>
  <c r="L112" i="80" s="1"/>
  <c r="L77" i="80"/>
  <c r="L89" i="80" s="1"/>
  <c r="L89" i="83"/>
  <c r="L160" i="83" s="1"/>
  <c r="L30" i="71" s="1"/>
  <c r="L135" i="71" s="1"/>
  <c r="L96" i="83"/>
  <c r="L184" i="83" s="1"/>
  <c r="L55" i="71" s="1"/>
  <c r="L160" i="71" s="1"/>
  <c r="L95" i="80"/>
  <c r="L107" i="80" s="1"/>
  <c r="L120" i="80"/>
  <c r="L132" i="80" s="1"/>
  <c r="L110" i="83"/>
  <c r="L215" i="83" s="1"/>
  <c r="L87" i="71" s="1"/>
  <c r="L192" i="71" s="1"/>
  <c r="L72" i="80"/>
  <c r="L84" i="80" s="1"/>
  <c r="L84" i="83"/>
  <c r="L155" i="83" s="1"/>
  <c r="L25" i="71" s="1"/>
  <c r="L130" i="71" s="1"/>
  <c r="L108" i="83"/>
  <c r="L213" i="83" s="1"/>
  <c r="L85" i="71" s="1"/>
  <c r="L190" i="71" s="1"/>
  <c r="L118" i="80"/>
  <c r="L130" i="80" s="1"/>
  <c r="L122" i="80"/>
  <c r="L134" i="80" s="1"/>
  <c r="L112" i="83"/>
  <c r="L217" i="83" s="1"/>
  <c r="L89" i="71" s="1"/>
  <c r="L194" i="71" s="1"/>
  <c r="L98" i="80"/>
  <c r="L110" i="80" s="1"/>
  <c r="L99" i="83"/>
  <c r="L187" i="83" s="1"/>
  <c r="L58" i="71" s="1"/>
  <c r="L163" i="71" s="1"/>
  <c r="L75" i="80"/>
  <c r="L87" i="80" s="1"/>
  <c r="L87" i="83"/>
  <c r="L158" i="83" s="1"/>
  <c r="L28" i="71" s="1"/>
  <c r="L133" i="71" s="1"/>
  <c r="L71" i="80"/>
  <c r="L83" i="80" s="1"/>
  <c r="L83" i="83"/>
  <c r="L154" i="83" s="1"/>
  <c r="L24" i="71" s="1"/>
  <c r="L129" i="71" s="1"/>
  <c r="L90" i="83"/>
  <c r="L161" i="83" s="1"/>
  <c r="L31" i="71" s="1"/>
  <c r="L136" i="71" s="1"/>
  <c r="L78" i="80"/>
  <c r="L90" i="80" s="1"/>
  <c r="L94" i="80"/>
  <c r="L106" i="80" s="1"/>
  <c r="L95" i="83"/>
  <c r="L183" i="83" s="1"/>
  <c r="L54" i="71" s="1"/>
  <c r="L159" i="71" s="1"/>
  <c r="L119" i="80"/>
  <c r="L131" i="80" s="1"/>
  <c r="L109" i="83"/>
  <c r="L214" i="83" s="1"/>
  <c r="L86" i="71" s="1"/>
  <c r="L191" i="71" s="1"/>
  <c r="L74" i="80"/>
  <c r="L86" i="80" s="1"/>
  <c r="L86" i="83"/>
  <c r="L157" i="83" s="1"/>
  <c r="L27" i="71" s="1"/>
  <c r="L132" i="71" s="1"/>
  <c r="P144" i="80"/>
  <c r="P170" i="80" s="1"/>
  <c r="P271" i="80" s="1"/>
  <c r="O147" i="80"/>
  <c r="O173" i="80" s="1"/>
  <c r="O274" i="80" s="1"/>
  <c r="AH189" i="41"/>
  <c r="N142" i="80"/>
  <c r="N168" i="80" s="1"/>
  <c r="N269" i="80" s="1"/>
  <c r="N144" i="80"/>
  <c r="N170" i="80" s="1"/>
  <c r="N271" i="80" s="1"/>
  <c r="O143" i="80"/>
  <c r="O169" i="80" s="1"/>
  <c r="O270" i="80" s="1"/>
  <c r="O150" i="80"/>
  <c r="O176" i="80" s="1"/>
  <c r="M189" i="41"/>
  <c r="AJ189" i="41"/>
  <c r="AG189" i="41"/>
  <c r="N189" i="41"/>
  <c r="P147" i="80"/>
  <c r="P173" i="80" s="1"/>
  <c r="P274" i="80" s="1"/>
  <c r="O145" i="80"/>
  <c r="O171" i="80" s="1"/>
  <c r="O272" i="80" s="1"/>
  <c r="X189" i="41"/>
  <c r="P189" i="41"/>
  <c r="O142" i="80"/>
  <c r="O168" i="80" s="1"/>
  <c r="AA189" i="41"/>
  <c r="L189" i="41"/>
  <c r="Z189" i="41"/>
  <c r="AK189" i="41"/>
  <c r="R189" i="41"/>
  <c r="AF189" i="41"/>
  <c r="AB189" i="41"/>
  <c r="Y189" i="41"/>
  <c r="Q189" i="41"/>
  <c r="N143" i="80"/>
  <c r="N169" i="80" s="1"/>
  <c r="N270" i="80" s="1"/>
  <c r="N148" i="80"/>
  <c r="N174" i="80" s="1"/>
  <c r="N275" i="80" s="1"/>
  <c r="P146" i="80"/>
  <c r="P172" i="80" s="1"/>
  <c r="P273" i="80" s="1"/>
  <c r="N149" i="80"/>
  <c r="N175" i="80" s="1"/>
  <c r="N276" i="80" s="1"/>
  <c r="N145" i="80"/>
  <c r="N171" i="80" s="1"/>
  <c r="N272" i="80" s="1"/>
  <c r="P148" i="80"/>
  <c r="P174" i="80" s="1"/>
  <c r="P275" i="80" s="1"/>
  <c r="J87" i="83"/>
  <c r="J158" i="83" s="1"/>
  <c r="J28" i="71" s="1"/>
  <c r="J133" i="71" s="1"/>
  <c r="J75" i="80"/>
  <c r="J87" i="80" s="1"/>
  <c r="P150" i="80"/>
  <c r="P149" i="80"/>
  <c r="P175" i="80" s="1"/>
  <c r="P276" i="80" s="1"/>
  <c r="J111" i="83"/>
  <c r="J216" i="83" s="1"/>
  <c r="J88" i="71" s="1"/>
  <c r="J193" i="71" s="1"/>
  <c r="J121" i="80"/>
  <c r="J133" i="80" s="1"/>
  <c r="J107" i="83"/>
  <c r="J212" i="83" s="1"/>
  <c r="J84" i="71" s="1"/>
  <c r="J189" i="71" s="1"/>
  <c r="J117" i="80"/>
  <c r="J129" i="80" s="1"/>
  <c r="J102" i="83"/>
  <c r="J190" i="83" s="1"/>
  <c r="J61" i="71" s="1"/>
  <c r="J166" i="71" s="1"/>
  <c r="J101" i="80"/>
  <c r="J113" i="80" s="1"/>
  <c r="J109" i="83"/>
  <c r="J214" i="83" s="1"/>
  <c r="J86" i="71" s="1"/>
  <c r="J191" i="71" s="1"/>
  <c r="J119" i="80"/>
  <c r="J131" i="80" s="1"/>
  <c r="J98" i="83"/>
  <c r="J186" i="83" s="1"/>
  <c r="J57" i="71" s="1"/>
  <c r="J162" i="71" s="1"/>
  <c r="J97" i="80"/>
  <c r="J109" i="80" s="1"/>
  <c r="J98" i="80"/>
  <c r="J110" i="80" s="1"/>
  <c r="J99" i="83"/>
  <c r="J187" i="83" s="1"/>
  <c r="J58" i="71" s="1"/>
  <c r="J163" i="71" s="1"/>
  <c r="P145" i="80"/>
  <c r="P171" i="80" s="1"/>
  <c r="P272" i="80" s="1"/>
  <c r="N147" i="80"/>
  <c r="N173" i="80" s="1"/>
  <c r="N274" i="80" s="1"/>
  <c r="O149" i="80"/>
  <c r="O175" i="80" s="1"/>
  <c r="O276" i="80" s="1"/>
  <c r="J83" i="83"/>
  <c r="J154" i="83" s="1"/>
  <c r="J24" i="71" s="1"/>
  <c r="J129" i="71" s="1"/>
  <c r="J71" i="80"/>
  <c r="J83" i="80" s="1"/>
  <c r="J82" i="83"/>
  <c r="J153" i="83" s="1"/>
  <c r="J23" i="71" s="1"/>
  <c r="J128" i="71" s="1"/>
  <c r="J81" i="83"/>
  <c r="J152" i="83" s="1"/>
  <c r="H306" i="53" a="1"/>
  <c r="H306" i="53" s="1"/>
  <c r="J70" i="80"/>
  <c r="J82" i="80" s="1"/>
  <c r="J94" i="83"/>
  <c r="J182" i="83" s="1"/>
  <c r="J53" i="71" s="1"/>
  <c r="J158" i="71" s="1"/>
  <c r="J93" i="83"/>
  <c r="J181" i="83" s="1"/>
  <c r="J52" i="71" s="1"/>
  <c r="J157" i="71" s="1"/>
  <c r="J93" i="80"/>
  <c r="J105" i="80" s="1"/>
  <c r="J96" i="80"/>
  <c r="J108" i="80" s="1"/>
  <c r="J97" i="83"/>
  <c r="J185" i="83" s="1"/>
  <c r="J56" i="71" s="1"/>
  <c r="J161" i="71" s="1"/>
  <c r="J124" i="80"/>
  <c r="J136" i="80" s="1"/>
  <c r="J114" i="83"/>
  <c r="J219" i="83" s="1"/>
  <c r="J91" i="71" s="1"/>
  <c r="J196" i="71" s="1"/>
  <c r="O269" i="80"/>
  <c r="O148" i="80"/>
  <c r="O174" i="80" s="1"/>
  <c r="O275" i="80" s="1"/>
  <c r="J88" i="83"/>
  <c r="J159" i="83" s="1"/>
  <c r="J29" i="71" s="1"/>
  <c r="J134" i="71" s="1"/>
  <c r="J76" i="80"/>
  <c r="J88" i="80" s="1"/>
  <c r="J120" i="80"/>
  <c r="J132" i="80" s="1"/>
  <c r="J110" i="83"/>
  <c r="J215" i="83" s="1"/>
  <c r="J87" i="71" s="1"/>
  <c r="J192" i="71" s="1"/>
  <c r="J86" i="83"/>
  <c r="J157" i="83" s="1"/>
  <c r="J27" i="71" s="1"/>
  <c r="J132" i="71" s="1"/>
  <c r="J74" i="80"/>
  <c r="J86" i="80" s="1"/>
  <c r="N146" i="80"/>
  <c r="N172" i="80" s="1"/>
  <c r="N273" i="80" s="1"/>
  <c r="N150" i="80"/>
  <c r="J95" i="83"/>
  <c r="J183" i="83" s="1"/>
  <c r="J54" i="71" s="1"/>
  <c r="J159" i="71" s="1"/>
  <c r="J94" i="80"/>
  <c r="J106" i="80" s="1"/>
  <c r="J100" i="80"/>
  <c r="J112" i="80" s="1"/>
  <c r="J101" i="83"/>
  <c r="J189" i="83" s="1"/>
  <c r="J60" i="71" s="1"/>
  <c r="J165" i="71" s="1"/>
  <c r="J89" i="83"/>
  <c r="J160" i="83" s="1"/>
  <c r="J30" i="71" s="1"/>
  <c r="J135" i="71" s="1"/>
  <c r="J77" i="80"/>
  <c r="J89" i="80" s="1"/>
  <c r="O22" i="71"/>
  <c r="O127" i="71" s="1"/>
  <c r="O146" i="80"/>
  <c r="O172" i="80" s="1"/>
  <c r="O273" i="80" s="1"/>
  <c r="J85" i="83"/>
  <c r="J156" i="83" s="1"/>
  <c r="J26" i="71" s="1"/>
  <c r="J131" i="71" s="1"/>
  <c r="J73" i="80"/>
  <c r="J85" i="80" s="1"/>
  <c r="J72" i="80"/>
  <c r="J84" i="80" s="1"/>
  <c r="J84" i="83"/>
  <c r="J155" i="83" s="1"/>
  <c r="J25" i="71" s="1"/>
  <c r="J130" i="71" s="1"/>
  <c r="J122" i="80"/>
  <c r="J134" i="80" s="1"/>
  <c r="J112" i="83"/>
  <c r="J217" i="83" s="1"/>
  <c r="J89" i="71" s="1"/>
  <c r="J194" i="71" s="1"/>
  <c r="P22" i="71"/>
  <c r="P127" i="71" s="1"/>
  <c r="J78" i="80"/>
  <c r="J90" i="80" s="1"/>
  <c r="J90" i="83"/>
  <c r="J161" i="83" s="1"/>
  <c r="J31" i="71" s="1"/>
  <c r="J136" i="71" s="1"/>
  <c r="J95" i="80"/>
  <c r="J107" i="80" s="1"/>
  <c r="J96" i="83"/>
  <c r="J184" i="83" s="1"/>
  <c r="J55" i="71" s="1"/>
  <c r="J160" i="71" s="1"/>
  <c r="J118" i="80"/>
  <c r="J130" i="80" s="1"/>
  <c r="J108" i="83"/>
  <c r="J213" i="83" s="1"/>
  <c r="J85" i="71" s="1"/>
  <c r="J190" i="71" s="1"/>
  <c r="O144" i="80"/>
  <c r="O170" i="80" s="1"/>
  <c r="O271" i="80" s="1"/>
  <c r="N22" i="71"/>
  <c r="N127" i="71" s="1"/>
  <c r="J99" i="80"/>
  <c r="J111" i="80" s="1"/>
  <c r="J100" i="83"/>
  <c r="J188" i="83" s="1"/>
  <c r="J59" i="71" s="1"/>
  <c r="J164" i="71" s="1"/>
  <c r="J116" i="80"/>
  <c r="J128" i="80" s="1"/>
  <c r="J106" i="83"/>
  <c r="J211" i="83" s="1"/>
  <c r="J83" i="71" s="1"/>
  <c r="J188" i="71" s="1"/>
  <c r="J105" i="83"/>
  <c r="J210" i="83" s="1"/>
  <c r="J82" i="71" s="1"/>
  <c r="J187" i="71" s="1"/>
  <c r="J123" i="80"/>
  <c r="J135" i="80" s="1"/>
  <c r="J113" i="83"/>
  <c r="J218" i="83" s="1"/>
  <c r="J90" i="71" s="1"/>
  <c r="J195" i="71" s="1"/>
  <c r="P142" i="80"/>
  <c r="P168" i="80" s="1"/>
  <c r="P143" i="80"/>
  <c r="P169" i="80" s="1"/>
  <c r="P270" i="80" s="1"/>
  <c r="W189" i="41"/>
  <c r="K189" i="41"/>
  <c r="U189" i="41"/>
  <c r="AI189" i="41"/>
  <c r="AE189" i="41"/>
  <c r="T189" i="41"/>
  <c r="AD189" i="41"/>
  <c r="S189" i="41"/>
  <c r="O189" i="41"/>
  <c r="AC189" i="41"/>
  <c r="AM189" i="41"/>
  <c r="V189" i="41"/>
  <c r="AL189" i="41"/>
  <c r="AN189" i="41"/>
  <c r="AO189" i="41"/>
  <c r="M148" i="80" l="1"/>
  <c r="M174" i="80" s="1"/>
  <c r="M275" i="80" s="1"/>
  <c r="M142" i="80"/>
  <c r="M168" i="80" s="1"/>
  <c r="M269" i="80" s="1"/>
  <c r="M143" i="80"/>
  <c r="M169" i="80" s="1"/>
  <c r="M270" i="80" s="1"/>
  <c r="K145" i="80"/>
  <c r="K171" i="80" s="1"/>
  <c r="K272" i="80" s="1"/>
  <c r="M150" i="80"/>
  <c r="M208" i="80" s="1"/>
  <c r="K147" i="80"/>
  <c r="K173" i="80" s="1"/>
  <c r="K274" i="80" s="1"/>
  <c r="K150" i="80"/>
  <c r="K208" i="80" s="1"/>
  <c r="K143" i="80"/>
  <c r="K169" i="80" s="1"/>
  <c r="K270" i="80" s="1"/>
  <c r="K142" i="80"/>
  <c r="K168" i="80" s="1"/>
  <c r="K269" i="80" s="1"/>
  <c r="K146" i="80"/>
  <c r="K172" i="80" s="1"/>
  <c r="K273" i="80" s="1"/>
  <c r="K148" i="80"/>
  <c r="K174" i="80" s="1"/>
  <c r="K275" i="80" s="1"/>
  <c r="J146" i="80"/>
  <c r="J172" i="80" s="1"/>
  <c r="J273" i="80" s="1"/>
  <c r="L150" i="80"/>
  <c r="L146" i="80"/>
  <c r="L172" i="80" s="1"/>
  <c r="L273" i="80" s="1"/>
  <c r="L143" i="80"/>
  <c r="L169" i="80" s="1"/>
  <c r="L270" i="80" s="1"/>
  <c r="L149" i="80"/>
  <c r="L175" i="80" s="1"/>
  <c r="L276" i="80" s="1"/>
  <c r="L144" i="80"/>
  <c r="L170" i="80" s="1"/>
  <c r="L271" i="80" s="1"/>
  <c r="L147" i="80"/>
  <c r="L173" i="80" s="1"/>
  <c r="L274" i="80" s="1"/>
  <c r="L145" i="80"/>
  <c r="L171" i="80" s="1"/>
  <c r="L272" i="80" s="1"/>
  <c r="L148" i="80"/>
  <c r="L174" i="80" s="1"/>
  <c r="L275" i="80" s="1"/>
  <c r="L142" i="80"/>
  <c r="L168" i="80" s="1"/>
  <c r="L269" i="80" s="1"/>
  <c r="O208" i="80"/>
  <c r="J145" i="80"/>
  <c r="J171" i="80" s="1"/>
  <c r="J272" i="80" s="1"/>
  <c r="J150" i="80"/>
  <c r="A4" i="53"/>
  <c r="J47" i="55"/>
  <c r="P269" i="80"/>
  <c r="J144" i="80"/>
  <c r="J142" i="80"/>
  <c r="J22" i="71"/>
  <c r="J127" i="71" s="1"/>
  <c r="P208" i="80"/>
  <c r="P176" i="80"/>
  <c r="P177" i="80" s="1"/>
  <c r="J148" i="80"/>
  <c r="N176" i="80"/>
  <c r="N177" i="80" s="1"/>
  <c r="N208" i="80"/>
  <c r="J143" i="80"/>
  <c r="J147" i="80"/>
  <c r="J149" i="80"/>
  <c r="O177" i="80"/>
  <c r="M176" i="80" l="1"/>
  <c r="M177" i="80" s="1"/>
  <c r="K176" i="80"/>
  <c r="K177" i="80" s="1"/>
  <c r="L176" i="80"/>
  <c r="L177" i="80" s="1"/>
  <c r="L208" i="80"/>
  <c r="H272" i="80"/>
  <c r="H273" i="80"/>
  <c r="H158" i="80"/>
  <c r="H157" i="80"/>
  <c r="J208" i="80"/>
  <c r="J176" i="80"/>
  <c r="H162" i="80"/>
  <c r="H159" i="80"/>
  <c r="J173" i="80"/>
  <c r="J274" i="80" s="1"/>
  <c r="H274" i="80" s="1"/>
  <c r="H155" i="80"/>
  <c r="J169" i="80"/>
  <c r="J270" i="80" s="1"/>
  <c r="H270" i="80" s="1"/>
  <c r="H154" i="80"/>
  <c r="J168" i="80"/>
  <c r="J170" i="80"/>
  <c r="J271" i="80" s="1"/>
  <c r="H271" i="80" s="1"/>
  <c r="H156" i="80"/>
  <c r="J175" i="80"/>
  <c r="J276" i="80" s="1"/>
  <c r="H276" i="80" s="1"/>
  <c r="H161" i="80"/>
  <c r="H160" i="80"/>
  <c r="J174" i="80"/>
  <c r="J275" i="80" s="1"/>
  <c r="H275" i="80" s="1"/>
  <c r="H210" i="80" l="1"/>
  <c r="H234" i="80" s="1"/>
  <c r="J177" i="80"/>
  <c r="J269" i="80"/>
  <c r="H269" i="80" s="1"/>
  <c r="J57" i="82" a="1"/>
  <c r="T247" i="80" l="1"/>
  <c r="P260" i="80"/>
  <c r="U260" i="80"/>
  <c r="Q247" i="80"/>
  <c r="W247" i="80"/>
  <c r="S247" i="80"/>
  <c r="X247" i="80"/>
  <c r="Y260" i="80"/>
  <c r="N247" i="80"/>
  <c r="N277" i="80" s="1"/>
  <c r="J260" i="80"/>
  <c r="T260" i="80"/>
  <c r="L260" i="80"/>
  <c r="R260" i="80"/>
  <c r="X260" i="80"/>
  <c r="W260" i="80"/>
  <c r="K247" i="80"/>
  <c r="K277" i="80" s="1"/>
  <c r="Q260" i="80"/>
  <c r="V260" i="80"/>
  <c r="S260" i="80"/>
  <c r="J247" i="80"/>
  <c r="P247" i="80"/>
  <c r="O247" i="80"/>
  <c r="O277" i="80" s="1"/>
  <c r="L247" i="80"/>
  <c r="M247" i="80"/>
  <c r="M277" i="80" s="1"/>
  <c r="H32" i="73"/>
  <c r="N141" i="73" s="1"/>
  <c r="N201" i="73" s="1"/>
  <c r="R247" i="80"/>
  <c r="U247" i="80"/>
  <c r="U277" i="80" s="1"/>
  <c r="Y247" i="80"/>
  <c r="V247" i="80"/>
  <c r="L57" i="82"/>
  <c r="K57" i="82"/>
  <c r="J57" i="82"/>
  <c r="O57" i="82"/>
  <c r="M57" i="82"/>
  <c r="N57" i="82"/>
  <c r="W277" i="80" l="1"/>
  <c r="P277" i="80"/>
  <c r="T277" i="80"/>
  <c r="Q277" i="80"/>
  <c r="S277" i="80"/>
  <c r="X277" i="80"/>
  <c r="Y277" i="80"/>
  <c r="J277" i="80"/>
  <c r="L277" i="80"/>
  <c r="R277" i="80"/>
  <c r="V277" i="80"/>
  <c r="P141" i="73"/>
  <c r="P271" i="73" s="1"/>
  <c r="P34" i="74" s="1"/>
  <c r="P79" i="74" s="1"/>
  <c r="J171" i="73"/>
  <c r="J231" i="73" s="1"/>
  <c r="K171" i="73"/>
  <c r="K231" i="73" s="1"/>
  <c r="O171" i="73"/>
  <c r="O231" i="73" s="1"/>
  <c r="N171" i="73"/>
  <c r="N231" i="73" s="1"/>
  <c r="L141" i="73"/>
  <c r="L271" i="73" s="1"/>
  <c r="L34" i="74" s="1"/>
  <c r="L79" i="74" s="1"/>
  <c r="Q141" i="73"/>
  <c r="Q271" i="73" s="1"/>
  <c r="Q34" i="74" s="1"/>
  <c r="Q79" i="74" s="1"/>
  <c r="J141" i="73"/>
  <c r="O141" i="73"/>
  <c r="K141" i="73"/>
  <c r="M171" i="73"/>
  <c r="M231" i="73" s="1"/>
  <c r="P171" i="73"/>
  <c r="P231" i="73" s="1"/>
  <c r="N271" i="73"/>
  <c r="N34" i="74" s="1"/>
  <c r="N79" i="74" s="1"/>
  <c r="Q171" i="73"/>
  <c r="Q231" i="73" s="1"/>
  <c r="M141" i="73"/>
  <c r="L171" i="73"/>
  <c r="L231" i="73" s="1"/>
  <c r="H277" i="80" l="1"/>
  <c r="H281" i="80" s="1" a="1"/>
  <c r="H281" i="80" s="1"/>
  <c r="A4" i="80" s="1"/>
  <c r="P201" i="73"/>
  <c r="Q201" i="73"/>
  <c r="L201" i="73"/>
  <c r="J271" i="73"/>
  <c r="J34" i="74" s="1"/>
  <c r="J79" i="74" s="1"/>
  <c r="J201" i="73"/>
  <c r="K271" i="73"/>
  <c r="K34" i="74" s="1"/>
  <c r="K79" i="74" s="1"/>
  <c r="K201" i="73"/>
  <c r="O271" i="73"/>
  <c r="O34" i="74" s="1"/>
  <c r="O79" i="74" s="1"/>
  <c r="O201" i="73"/>
  <c r="M271" i="73"/>
  <c r="M34" i="74" s="1"/>
  <c r="M79" i="74" s="1"/>
  <c r="M201" i="73"/>
  <c r="K64" i="81" l="1" a="1"/>
  <c r="M64" i="81" s="1"/>
  <c r="M67" i="81" s="1"/>
  <c r="M100" i="81" s="1"/>
  <c r="M115" i="81" s="1"/>
  <c r="J48" i="55"/>
  <c r="O109" i="74"/>
  <c r="O141" i="74" s="1"/>
  <c r="Q109" i="74"/>
  <c r="Q141" i="74" s="1"/>
  <c r="J109" i="74"/>
  <c r="J141" i="74" s="1"/>
  <c r="L109" i="74"/>
  <c r="L141" i="74" s="1"/>
  <c r="P109" i="74"/>
  <c r="P141" i="74" s="1"/>
  <c r="W109" i="74"/>
  <c r="W141" i="74" s="1"/>
  <c r="V109" i="74"/>
  <c r="V141" i="74" s="1"/>
  <c r="N109" i="74"/>
  <c r="N141" i="74" s="1"/>
  <c r="R109" i="74"/>
  <c r="R141" i="74" s="1"/>
  <c r="Y109" i="74"/>
  <c r="Y141" i="74" s="1"/>
  <c r="X109" i="74"/>
  <c r="X141" i="74" s="1"/>
  <c r="T109" i="74"/>
  <c r="T141" i="74" s="1"/>
  <c r="U109" i="74"/>
  <c r="U141" i="74" s="1"/>
  <c r="K109" i="74"/>
  <c r="K141" i="74" s="1"/>
  <c r="M109" i="74"/>
  <c r="M141" i="74" s="1"/>
  <c r="S109" i="74"/>
  <c r="S141" i="74" s="1"/>
  <c r="L64" i="81" l="1"/>
  <c r="L67" i="81" s="1"/>
  <c r="L100" i="81" s="1"/>
  <c r="L115" i="81" s="1"/>
  <c r="N64" i="81"/>
  <c r="N67" i="81" s="1"/>
  <c r="N73" i="81" s="1"/>
  <c r="N76" i="81" s="1"/>
  <c r="N108" i="81" s="1"/>
  <c r="M58" i="82" s="1"/>
  <c r="P64" i="81"/>
  <c r="P67" i="81" s="1"/>
  <c r="P73" i="81" s="1"/>
  <c r="P76" i="81" s="1"/>
  <c r="P108" i="81" s="1"/>
  <c r="O58" i="82" s="1"/>
  <c r="R64" i="81"/>
  <c r="R67" i="81" s="1"/>
  <c r="R73" i="81" s="1"/>
  <c r="R76" i="81" s="1"/>
  <c r="R108" i="81" s="1"/>
  <c r="Q58" i="82" s="1"/>
  <c r="S64" i="81"/>
  <c r="S67" i="81" s="1"/>
  <c r="S73" i="81" s="1"/>
  <c r="S76" i="81" s="1"/>
  <c r="S108" i="81" s="1"/>
  <c r="R58" i="82" s="1"/>
  <c r="O64" i="81"/>
  <c r="O67" i="81" s="1"/>
  <c r="O73" i="81" s="1"/>
  <c r="O76" i="81" s="1"/>
  <c r="O108" i="81" s="1"/>
  <c r="N58" i="82" s="1"/>
  <c r="M73" i="81"/>
  <c r="M76" i="81" s="1"/>
  <c r="M108" i="81" s="1"/>
  <c r="L58" i="82" s="1"/>
  <c r="K64" i="81"/>
  <c r="Q64" i="81"/>
  <c r="Q67" i="81" s="1"/>
  <c r="Q73" i="81" s="1"/>
  <c r="Q76" i="81" s="1"/>
  <c r="Q108" i="81" s="1"/>
  <c r="P58" i="82" s="1"/>
  <c r="L73" i="81" l="1"/>
  <c r="L76" i="81" s="1"/>
  <c r="O78" i="81" s="1"/>
  <c r="O97" i="81" s="1"/>
  <c r="O100" i="81" s="1"/>
  <c r="O115" i="81" s="1"/>
  <c r="P100" i="81"/>
  <c r="P115" i="81" s="1"/>
  <c r="K67" i="81"/>
  <c r="J65" i="81"/>
  <c r="J67" i="81" s="1"/>
  <c r="J100" i="81" s="1"/>
  <c r="J115" i="81" s="1"/>
  <c r="L108" i="81" l="1"/>
  <c r="K58" i="82" s="1"/>
  <c r="P78" i="81"/>
  <c r="P97" i="81" s="1"/>
  <c r="R78" i="81"/>
  <c r="R97" i="81" s="1"/>
  <c r="R100" i="81" s="1"/>
  <c r="R115" i="81" s="1"/>
  <c r="U78" i="81"/>
  <c r="U97" i="81" s="1"/>
  <c r="Q78" i="81"/>
  <c r="Q97" i="81" s="1"/>
  <c r="Q100" i="81" s="1"/>
  <c r="Q115" i="81" s="1"/>
  <c r="S78" i="81"/>
  <c r="S97" i="81" s="1"/>
  <c r="S100" i="81" s="1"/>
  <c r="S115" i="81" s="1"/>
  <c r="N78" i="81"/>
  <c r="N97" i="81" s="1"/>
  <c r="N100" i="81" s="1"/>
  <c r="N115" i="81" s="1"/>
  <c r="M78" i="81"/>
  <c r="M97" i="81" s="1"/>
  <c r="L78" i="81"/>
  <c r="L97" i="81" s="1"/>
  <c r="H123" i="81"/>
  <c r="H21" i="76" s="1"/>
  <c r="H35" i="76" s="1"/>
  <c r="Q44" i="76" s="1"/>
  <c r="Q106" i="71" s="1"/>
  <c r="Q211" i="71" s="1"/>
  <c r="T78" i="81"/>
  <c r="T97" i="81" s="1"/>
  <c r="K78" i="81"/>
  <c r="K97" i="81" s="1"/>
  <c r="K100" i="81" s="1"/>
  <c r="K115" i="81" s="1"/>
  <c r="H19" i="82" l="1" a="1"/>
  <c r="H23" i="82" s="1"/>
  <c r="P43" i="76"/>
  <c r="P56" i="74" s="1"/>
  <c r="P157" i="74" s="1"/>
  <c r="S42" i="76"/>
  <c r="S55" i="74" s="1"/>
  <c r="S156" i="74" s="1"/>
  <c r="S43" i="76"/>
  <c r="S56" i="74" s="1"/>
  <c r="S157" i="74" s="1"/>
  <c r="W42" i="76"/>
  <c r="W55" i="74" s="1"/>
  <c r="W156" i="74" s="1"/>
  <c r="H30" i="83" a="1"/>
  <c r="H30" i="83" s="1"/>
  <c r="H63" i="72" a="1"/>
  <c r="H63" i="72" s="1"/>
  <c r="H65" i="73" a="1"/>
  <c r="H74" i="73" s="1"/>
  <c r="Q76" i="71"/>
  <c r="Q181" i="71" s="1"/>
  <c r="M42" i="76"/>
  <c r="M55" i="74" s="1"/>
  <c r="M156" i="74" s="1"/>
  <c r="X43" i="76"/>
  <c r="X56" i="74" s="1"/>
  <c r="X157" i="74" s="1"/>
  <c r="T43" i="76"/>
  <c r="T56" i="74" s="1"/>
  <c r="T157" i="74" s="1"/>
  <c r="P42" i="76"/>
  <c r="P55" i="74" s="1"/>
  <c r="P156" i="74" s="1"/>
  <c r="X42" i="76"/>
  <c r="X55" i="74" s="1"/>
  <c r="X156" i="74" s="1"/>
  <c r="R42" i="76"/>
  <c r="R55" i="74" s="1"/>
  <c r="R156" i="74" s="1"/>
  <c r="K42" i="76"/>
  <c r="K55" i="74" s="1"/>
  <c r="K156" i="74" s="1"/>
  <c r="V43" i="76"/>
  <c r="V56" i="74" s="1"/>
  <c r="V157" i="74" s="1"/>
  <c r="Y43" i="76"/>
  <c r="Y56" i="74" s="1"/>
  <c r="Y157" i="74" s="1"/>
  <c r="U43" i="76"/>
  <c r="U56" i="74" s="1"/>
  <c r="U157" i="74" s="1"/>
  <c r="Q46" i="71"/>
  <c r="Q151" i="71" s="1"/>
  <c r="Y42" i="76"/>
  <c r="Y55" i="74" s="1"/>
  <c r="Y156" i="74" s="1"/>
  <c r="R43" i="76"/>
  <c r="R56" i="74" s="1"/>
  <c r="R157" i="74" s="1"/>
  <c r="M43" i="76"/>
  <c r="M56" i="74" s="1"/>
  <c r="M157" i="74" s="1"/>
  <c r="N43" i="76"/>
  <c r="N56" i="74" s="1"/>
  <c r="N157" i="74" s="1"/>
  <c r="K43" i="76"/>
  <c r="K56" i="74" s="1"/>
  <c r="K157" i="74" s="1"/>
  <c r="U42" i="76"/>
  <c r="U55" i="74" s="1"/>
  <c r="U156" i="74" s="1"/>
  <c r="V42" i="76"/>
  <c r="V55" i="74" s="1"/>
  <c r="V156" i="74" s="1"/>
  <c r="O42" i="76"/>
  <c r="O55" i="74" s="1"/>
  <c r="O156" i="74" s="1"/>
  <c r="H127" i="81" a="1"/>
  <c r="H127" i="81" s="1"/>
  <c r="H131" i="81" s="1"/>
  <c r="A4" i="81" s="1"/>
  <c r="O43" i="76"/>
  <c r="O56" i="74" s="1"/>
  <c r="O157" i="74" s="1"/>
  <c r="J43" i="76"/>
  <c r="J56" i="74" s="1"/>
  <c r="J157" i="74" s="1"/>
  <c r="N42" i="76"/>
  <c r="N55" i="74" s="1"/>
  <c r="N156" i="74" s="1"/>
  <c r="T42" i="76"/>
  <c r="T55" i="74" s="1"/>
  <c r="T156" i="74" s="1"/>
  <c r="Q42" i="76"/>
  <c r="L43" i="76"/>
  <c r="L56" i="74" s="1"/>
  <c r="L157" i="74" s="1"/>
  <c r="Q43" i="76"/>
  <c r="L42" i="76"/>
  <c r="L55" i="74" s="1"/>
  <c r="L156" i="74" s="1"/>
  <c r="W43" i="76"/>
  <c r="W56" i="74" s="1"/>
  <c r="W157" i="74" s="1"/>
  <c r="J42" i="76"/>
  <c r="J55" i="74" s="1"/>
  <c r="J156" i="74" s="1"/>
  <c r="H20" i="82"/>
  <c r="H21" i="82"/>
  <c r="H22" i="82"/>
  <c r="H19" i="82"/>
  <c r="H68" i="73" l="1"/>
  <c r="H67" i="73"/>
  <c r="O178" i="73" s="1"/>
  <c r="O238" i="73" s="1"/>
  <c r="H39" i="83"/>
  <c r="X173" i="83" s="1"/>
  <c r="X45" i="71" s="1"/>
  <c r="X150" i="71" s="1"/>
  <c r="H35" i="83"/>
  <c r="H36" i="83"/>
  <c r="K170" i="83" s="1"/>
  <c r="K42" i="71" s="1"/>
  <c r="K147" i="71" s="1"/>
  <c r="H34" i="83"/>
  <c r="U226" i="83" s="1"/>
  <c r="U100" i="71" s="1"/>
  <c r="U205" i="71" s="1"/>
  <c r="H72" i="72"/>
  <c r="U181" i="72" s="1"/>
  <c r="U216" i="72" s="1"/>
  <c r="U246" i="72" s="1"/>
  <c r="H70" i="73"/>
  <c r="N151" i="73" s="1"/>
  <c r="H67" i="72"/>
  <c r="T176" i="72" s="1"/>
  <c r="T211" i="72" s="1"/>
  <c r="T241" i="72" s="1"/>
  <c r="H65" i="72"/>
  <c r="U174" i="72" s="1"/>
  <c r="U209" i="72" s="1"/>
  <c r="U239" i="72" s="1"/>
  <c r="H37" i="83"/>
  <c r="N229" i="83" s="1"/>
  <c r="N103" i="71" s="1"/>
  <c r="N208" i="71" s="1"/>
  <c r="H68" i="72"/>
  <c r="T177" i="72" s="1"/>
  <c r="T212" i="72" s="1"/>
  <c r="T242" i="72" s="1"/>
  <c r="H71" i="72"/>
  <c r="T180" i="72" s="1"/>
  <c r="T215" i="72" s="1"/>
  <c r="T245" i="72" s="1"/>
  <c r="H31" i="83"/>
  <c r="N194" i="83" s="1"/>
  <c r="N67" i="71" s="1"/>
  <c r="N172" i="71" s="1"/>
  <c r="H38" i="83"/>
  <c r="S143" i="83" s="1"/>
  <c r="H32" i="83"/>
  <c r="K224" i="83" s="1"/>
  <c r="K98" i="71" s="1"/>
  <c r="K203" i="71" s="1"/>
  <c r="H66" i="72"/>
  <c r="Y175" i="72" s="1"/>
  <c r="Y210" i="72" s="1"/>
  <c r="Y240" i="72" s="1"/>
  <c r="H70" i="72"/>
  <c r="W179" i="72" s="1"/>
  <c r="W214" i="72" s="1"/>
  <c r="W244" i="72" s="1"/>
  <c r="H69" i="72"/>
  <c r="X178" i="72" s="1"/>
  <c r="X213" i="72" s="1"/>
  <c r="X243" i="72" s="1"/>
  <c r="H64" i="72"/>
  <c r="R173" i="72" s="1"/>
  <c r="R208" i="72" s="1"/>
  <c r="R238" i="72" s="1"/>
  <c r="H33" i="83"/>
  <c r="T167" i="83" s="1"/>
  <c r="T39" i="71" s="1"/>
  <c r="T144" i="71" s="1"/>
  <c r="H65" i="73"/>
  <c r="L176" i="73" s="1"/>
  <c r="L236" i="73" s="1"/>
  <c r="H69" i="73"/>
  <c r="J180" i="73" s="1"/>
  <c r="J240" i="73" s="1"/>
  <c r="H71" i="73"/>
  <c r="K152" i="73" s="1"/>
  <c r="H66" i="73"/>
  <c r="N177" i="73" s="1"/>
  <c r="N237" i="73" s="1"/>
  <c r="H72" i="73"/>
  <c r="Q183" i="73" s="1"/>
  <c r="Q243" i="73" s="1"/>
  <c r="H73" i="73"/>
  <c r="M154" i="73" s="1"/>
  <c r="J50" i="55"/>
  <c r="H48" i="76" a="1"/>
  <c r="H48" i="76" s="1"/>
  <c r="A4" i="76" s="1"/>
  <c r="Q140" i="83"/>
  <c r="Q142" i="72" s="1"/>
  <c r="Q212" i="72" s="1"/>
  <c r="Q242" i="72" s="1"/>
  <c r="P169" i="83"/>
  <c r="P41" i="71" s="1"/>
  <c r="P146" i="71" s="1"/>
  <c r="W140" i="83"/>
  <c r="S169" i="83"/>
  <c r="S41" i="71" s="1"/>
  <c r="S146" i="71" s="1"/>
  <c r="J227" i="83"/>
  <c r="J101" i="71" s="1"/>
  <c r="J206" i="71" s="1"/>
  <c r="R198" i="83"/>
  <c r="R71" i="71" s="1"/>
  <c r="R176" i="71" s="1"/>
  <c r="P140" i="83"/>
  <c r="P142" i="72" s="1"/>
  <c r="P212" i="72" s="1"/>
  <c r="P242" i="72" s="1"/>
  <c r="J169" i="83"/>
  <c r="J41" i="71" s="1"/>
  <c r="J146" i="71" s="1"/>
  <c r="U140" i="83"/>
  <c r="U198" i="83"/>
  <c r="U71" i="71" s="1"/>
  <c r="U176" i="71" s="1"/>
  <c r="M227" i="83"/>
  <c r="M101" i="71" s="1"/>
  <c r="M206" i="71" s="1"/>
  <c r="L169" i="83"/>
  <c r="L41" i="71" s="1"/>
  <c r="L146" i="71" s="1"/>
  <c r="Y227" i="83"/>
  <c r="Y101" i="71" s="1"/>
  <c r="Y206" i="71" s="1"/>
  <c r="T227" i="83"/>
  <c r="T101" i="71" s="1"/>
  <c r="T206" i="71" s="1"/>
  <c r="X140" i="83"/>
  <c r="T140" i="83"/>
  <c r="M198" i="83"/>
  <c r="M71" i="71" s="1"/>
  <c r="M176" i="71" s="1"/>
  <c r="U169" i="83"/>
  <c r="U41" i="71" s="1"/>
  <c r="U146" i="71" s="1"/>
  <c r="L198" i="83"/>
  <c r="L71" i="71" s="1"/>
  <c r="L176" i="71" s="1"/>
  <c r="K198" i="83"/>
  <c r="K71" i="71" s="1"/>
  <c r="K176" i="71" s="1"/>
  <c r="N169" i="83"/>
  <c r="N41" i="71" s="1"/>
  <c r="N146" i="71" s="1"/>
  <c r="M169" i="83"/>
  <c r="M41" i="71" s="1"/>
  <c r="M146" i="71" s="1"/>
  <c r="T169" i="83"/>
  <c r="T41" i="71" s="1"/>
  <c r="T146" i="71" s="1"/>
  <c r="X227" i="83"/>
  <c r="X101" i="71" s="1"/>
  <c r="X206" i="71" s="1"/>
  <c r="V169" i="83"/>
  <c r="V41" i="71" s="1"/>
  <c r="V146" i="71" s="1"/>
  <c r="K227" i="83"/>
  <c r="K101" i="71" s="1"/>
  <c r="K206" i="71" s="1"/>
  <c r="Y140" i="83"/>
  <c r="O169" i="83"/>
  <c r="O41" i="71" s="1"/>
  <c r="O146" i="71" s="1"/>
  <c r="P227" i="83"/>
  <c r="P101" i="71" s="1"/>
  <c r="P206" i="71" s="1"/>
  <c r="V227" i="83"/>
  <c r="V101" i="71" s="1"/>
  <c r="V206" i="71" s="1"/>
  <c r="V198" i="83"/>
  <c r="V71" i="71" s="1"/>
  <c r="V176" i="71" s="1"/>
  <c r="X169" i="83"/>
  <c r="X41" i="71" s="1"/>
  <c r="X146" i="71" s="1"/>
  <c r="X198" i="83"/>
  <c r="X71" i="71" s="1"/>
  <c r="X176" i="71" s="1"/>
  <c r="J140" i="83"/>
  <c r="J142" i="72" s="1"/>
  <c r="J212" i="72" s="1"/>
  <c r="J242" i="72" s="1"/>
  <c r="L140" i="83"/>
  <c r="L142" i="72" s="1"/>
  <c r="L212" i="72" s="1"/>
  <c r="L242" i="72" s="1"/>
  <c r="K169" i="83"/>
  <c r="K41" i="71" s="1"/>
  <c r="K146" i="71" s="1"/>
  <c r="M140" i="83"/>
  <c r="M142" i="72" s="1"/>
  <c r="M212" i="72" s="1"/>
  <c r="M242" i="72" s="1"/>
  <c r="Y169" i="83"/>
  <c r="Y41" i="71" s="1"/>
  <c r="Y146" i="71" s="1"/>
  <c r="J198" i="83"/>
  <c r="J71" i="71" s="1"/>
  <c r="J176" i="71" s="1"/>
  <c r="Q198" i="83"/>
  <c r="Q71" i="71" s="1"/>
  <c r="Q176" i="71" s="1"/>
  <c r="N227" i="83"/>
  <c r="N101" i="71" s="1"/>
  <c r="N206" i="71" s="1"/>
  <c r="R169" i="83"/>
  <c r="R41" i="71" s="1"/>
  <c r="R146" i="71" s="1"/>
  <c r="O227" i="83"/>
  <c r="O101" i="71" s="1"/>
  <c r="O206" i="71" s="1"/>
  <c r="U227" i="83"/>
  <c r="U101" i="71" s="1"/>
  <c r="U206" i="71" s="1"/>
  <c r="W198" i="83"/>
  <c r="W71" i="71" s="1"/>
  <c r="W176" i="71" s="1"/>
  <c r="O140" i="83"/>
  <c r="O142" i="72" s="1"/>
  <c r="O212" i="72" s="1"/>
  <c r="O242" i="72" s="1"/>
  <c r="V140" i="83"/>
  <c r="R140" i="83"/>
  <c r="Q169" i="83"/>
  <c r="Q41" i="71" s="1"/>
  <c r="Q146" i="71" s="1"/>
  <c r="P198" i="83"/>
  <c r="P71" i="71" s="1"/>
  <c r="P176" i="71" s="1"/>
  <c r="R227" i="83"/>
  <c r="R101" i="71" s="1"/>
  <c r="R206" i="71" s="1"/>
  <c r="O198" i="83"/>
  <c r="O71" i="71" s="1"/>
  <c r="O176" i="71" s="1"/>
  <c r="N140" i="83"/>
  <c r="N142" i="72" s="1"/>
  <c r="N212" i="72" s="1"/>
  <c r="N242" i="72" s="1"/>
  <c r="Y198" i="83"/>
  <c r="Y71" i="71" s="1"/>
  <c r="Y176" i="71" s="1"/>
  <c r="Q227" i="83"/>
  <c r="Q101" i="71" s="1"/>
  <c r="Q206" i="71" s="1"/>
  <c r="S198" i="83"/>
  <c r="S71" i="71" s="1"/>
  <c r="S176" i="71" s="1"/>
  <c r="N198" i="83"/>
  <c r="N71" i="71" s="1"/>
  <c r="N176" i="71" s="1"/>
  <c r="T198" i="83"/>
  <c r="T71" i="71" s="1"/>
  <c r="T176" i="71" s="1"/>
  <c r="W227" i="83"/>
  <c r="W101" i="71" s="1"/>
  <c r="W206" i="71" s="1"/>
  <c r="W169" i="83"/>
  <c r="W41" i="71" s="1"/>
  <c r="W146" i="71" s="1"/>
  <c r="L227" i="83"/>
  <c r="L101" i="71" s="1"/>
  <c r="L206" i="71" s="1"/>
  <c r="S140" i="83"/>
  <c r="K140" i="83"/>
  <c r="K142" i="72" s="1"/>
  <c r="K212" i="72" s="1"/>
  <c r="K242" i="72" s="1"/>
  <c r="S227" i="83"/>
  <c r="S101" i="71" s="1"/>
  <c r="S206" i="71" s="1"/>
  <c r="V165" i="83"/>
  <c r="V37" i="71" s="1"/>
  <c r="V142" i="71" s="1"/>
  <c r="J150" i="73"/>
  <c r="O182" i="73"/>
  <c r="O242" i="73" s="1"/>
  <c r="P178" i="73"/>
  <c r="P238" i="73" s="1"/>
  <c r="N148" i="73"/>
  <c r="J178" i="73"/>
  <c r="J238" i="73" s="1"/>
  <c r="L178" i="73"/>
  <c r="L238" i="73" s="1"/>
  <c r="P137" i="83"/>
  <c r="P139" i="72" s="1"/>
  <c r="P209" i="72" s="1"/>
  <c r="P239" i="72" s="1"/>
  <c r="L138" i="83"/>
  <c r="L140" i="72" s="1"/>
  <c r="L210" i="72" s="1"/>
  <c r="L240" i="72" s="1"/>
  <c r="V138" i="83"/>
  <c r="M138" i="83"/>
  <c r="M140" i="72" s="1"/>
  <c r="M210" i="72" s="1"/>
  <c r="M240" i="72" s="1"/>
  <c r="O138" i="83"/>
  <c r="O140" i="72" s="1"/>
  <c r="O210" i="72" s="1"/>
  <c r="O240" i="72" s="1"/>
  <c r="O196" i="83"/>
  <c r="O69" i="71" s="1"/>
  <c r="O174" i="71" s="1"/>
  <c r="O167" i="83"/>
  <c r="O39" i="71" s="1"/>
  <c r="O144" i="71" s="1"/>
  <c r="Q196" i="83"/>
  <c r="Q69" i="71" s="1"/>
  <c r="Q174" i="71" s="1"/>
  <c r="P138" i="83"/>
  <c r="P140" i="72" s="1"/>
  <c r="P210" i="72" s="1"/>
  <c r="P240" i="72" s="1"/>
  <c r="N185" i="73"/>
  <c r="N245" i="73" s="1"/>
  <c r="L185" i="73"/>
  <c r="L245" i="73" s="1"/>
  <c r="J155" i="73"/>
  <c r="M155" i="73"/>
  <c r="Q155" i="73"/>
  <c r="K155" i="73"/>
  <c r="K185" i="73"/>
  <c r="K245" i="73" s="1"/>
  <c r="L155" i="73"/>
  <c r="N155" i="73"/>
  <c r="O155" i="73"/>
  <c r="P155" i="73"/>
  <c r="M185" i="73"/>
  <c r="M245" i="73" s="1"/>
  <c r="Q185" i="73"/>
  <c r="Q245" i="73" s="1"/>
  <c r="J185" i="73"/>
  <c r="J245" i="73" s="1"/>
  <c r="O185" i="73"/>
  <c r="O245" i="73" s="1"/>
  <c r="P185" i="73"/>
  <c r="P245" i="73" s="1"/>
  <c r="L222" i="83"/>
  <c r="L96" i="71" s="1"/>
  <c r="L201" i="71" s="1"/>
  <c r="N193" i="83"/>
  <c r="N66" i="71" s="1"/>
  <c r="N171" i="71" s="1"/>
  <c r="J135" i="83"/>
  <c r="J137" i="72" s="1"/>
  <c r="J207" i="72" s="1"/>
  <c r="J237" i="72" s="1"/>
  <c r="P193" i="83"/>
  <c r="P66" i="71" s="1"/>
  <c r="P171" i="71" s="1"/>
  <c r="K193" i="83"/>
  <c r="K66" i="71" s="1"/>
  <c r="K171" i="71" s="1"/>
  <c r="Q193" i="83"/>
  <c r="Q66" i="71" s="1"/>
  <c r="Q171" i="71" s="1"/>
  <c r="L193" i="83"/>
  <c r="L66" i="71" s="1"/>
  <c r="L171" i="71" s="1"/>
  <c r="M193" i="83"/>
  <c r="M66" i="71" s="1"/>
  <c r="M171" i="71" s="1"/>
  <c r="L164" i="83"/>
  <c r="P222" i="83"/>
  <c r="P96" i="71" s="1"/>
  <c r="P201" i="71" s="1"/>
  <c r="R222" i="83"/>
  <c r="R96" i="71" s="1"/>
  <c r="R201" i="71" s="1"/>
  <c r="T193" i="83"/>
  <c r="T66" i="71" s="1"/>
  <c r="T171" i="71" s="1"/>
  <c r="Q222" i="83"/>
  <c r="Q96" i="71" s="1"/>
  <c r="Q201" i="71" s="1"/>
  <c r="V135" i="83"/>
  <c r="K135" i="83"/>
  <c r="K137" i="72" s="1"/>
  <c r="K207" i="72" s="1"/>
  <c r="K237" i="72" s="1"/>
  <c r="S193" i="83"/>
  <c r="S66" i="71" s="1"/>
  <c r="S171" i="71" s="1"/>
  <c r="P135" i="83"/>
  <c r="P137" i="72" s="1"/>
  <c r="P207" i="72" s="1"/>
  <c r="P237" i="72" s="1"/>
  <c r="L135" i="83"/>
  <c r="L137" i="72" s="1"/>
  <c r="L207" i="72" s="1"/>
  <c r="L237" i="72" s="1"/>
  <c r="Q164" i="83"/>
  <c r="N222" i="83"/>
  <c r="N96" i="71" s="1"/>
  <c r="N201" i="71" s="1"/>
  <c r="T164" i="83"/>
  <c r="U222" i="83"/>
  <c r="U96" i="71" s="1"/>
  <c r="U201" i="71" s="1"/>
  <c r="M222" i="83"/>
  <c r="M96" i="71" s="1"/>
  <c r="M201" i="71" s="1"/>
  <c r="U193" i="83"/>
  <c r="U66" i="71" s="1"/>
  <c r="U171" i="71" s="1"/>
  <c r="M164" i="83"/>
  <c r="M135" i="83"/>
  <c r="M137" i="72" s="1"/>
  <c r="M207" i="72" s="1"/>
  <c r="M237" i="72" s="1"/>
  <c r="X164" i="83"/>
  <c r="T222" i="83"/>
  <c r="T96" i="71" s="1"/>
  <c r="T201" i="71" s="1"/>
  <c r="O135" i="83"/>
  <c r="O137" i="72" s="1"/>
  <c r="O207" i="72" s="1"/>
  <c r="O237" i="72" s="1"/>
  <c r="K222" i="83"/>
  <c r="K96" i="71" s="1"/>
  <c r="K201" i="71" s="1"/>
  <c r="N135" i="83"/>
  <c r="N137" i="72" s="1"/>
  <c r="N207" i="72" s="1"/>
  <c r="N237" i="72" s="1"/>
  <c r="O222" i="83"/>
  <c r="O96" i="71" s="1"/>
  <c r="O201" i="71" s="1"/>
  <c r="X135" i="83"/>
  <c r="W135" i="83"/>
  <c r="T135" i="83"/>
  <c r="S135" i="83"/>
  <c r="R135" i="83"/>
  <c r="J193" i="83"/>
  <c r="J66" i="71" s="1"/>
  <c r="J171" i="71" s="1"/>
  <c r="U135" i="83"/>
  <c r="R164" i="83"/>
  <c r="O164" i="83"/>
  <c r="Q135" i="83"/>
  <c r="Q137" i="72" s="1"/>
  <c r="Q207" i="72" s="1"/>
  <c r="Q237" i="72" s="1"/>
  <c r="Y164" i="83"/>
  <c r="N164" i="83"/>
  <c r="J164" i="83"/>
  <c r="Y193" i="83"/>
  <c r="Y66" i="71" s="1"/>
  <c r="Y171" i="71" s="1"/>
  <c r="W193" i="83"/>
  <c r="W66" i="71" s="1"/>
  <c r="W171" i="71" s="1"/>
  <c r="O193" i="83"/>
  <c r="O66" i="71" s="1"/>
  <c r="O171" i="71" s="1"/>
  <c r="W164" i="83"/>
  <c r="Y222" i="83"/>
  <c r="Y96" i="71" s="1"/>
  <c r="Y201" i="71" s="1"/>
  <c r="S164" i="83"/>
  <c r="U164" i="83"/>
  <c r="J222" i="83"/>
  <c r="J96" i="71" s="1"/>
  <c r="J201" i="71" s="1"/>
  <c r="V193" i="83"/>
  <c r="V66" i="71" s="1"/>
  <c r="V171" i="71" s="1"/>
  <c r="K164" i="83"/>
  <c r="Y135" i="83"/>
  <c r="V222" i="83"/>
  <c r="V96" i="71" s="1"/>
  <c r="V201" i="71" s="1"/>
  <c r="V164" i="83"/>
  <c r="X193" i="83"/>
  <c r="X66" i="71" s="1"/>
  <c r="X171" i="71" s="1"/>
  <c r="R193" i="83"/>
  <c r="R66" i="71" s="1"/>
  <c r="R171" i="71" s="1"/>
  <c r="S222" i="83"/>
  <c r="S96" i="71" s="1"/>
  <c r="S201" i="71" s="1"/>
  <c r="X222" i="83"/>
  <c r="X96" i="71" s="1"/>
  <c r="X201" i="71" s="1"/>
  <c r="P164" i="83"/>
  <c r="W222" i="83"/>
  <c r="W96" i="71" s="1"/>
  <c r="W201" i="71" s="1"/>
  <c r="S172" i="72"/>
  <c r="S207" i="72" s="1"/>
  <c r="S237" i="72" s="1"/>
  <c r="Y172" i="72"/>
  <c r="Y207" i="72" s="1"/>
  <c r="Y237" i="72" s="1"/>
  <c r="W172" i="72"/>
  <c r="W207" i="72" s="1"/>
  <c r="W237" i="72" s="1"/>
  <c r="V172" i="72"/>
  <c r="V207" i="72" s="1"/>
  <c r="V237" i="72" s="1"/>
  <c r="R172" i="72"/>
  <c r="R207" i="72" s="1"/>
  <c r="R237" i="72" s="1"/>
  <c r="T172" i="72"/>
  <c r="T207" i="72" s="1"/>
  <c r="T237" i="72" s="1"/>
  <c r="X172" i="72"/>
  <c r="X207" i="72" s="1"/>
  <c r="X237" i="72" s="1"/>
  <c r="U172" i="72"/>
  <c r="U207" i="72" s="1"/>
  <c r="U237" i="72" s="1"/>
  <c r="N149" i="73"/>
  <c r="P179" i="73"/>
  <c r="P239" i="73" s="1"/>
  <c r="N179" i="73"/>
  <c r="N239" i="73" s="1"/>
  <c r="L179" i="73"/>
  <c r="L239" i="73" s="1"/>
  <c r="J179" i="73"/>
  <c r="J239" i="73" s="1"/>
  <c r="O179" i="73"/>
  <c r="O239" i="73" s="1"/>
  <c r="M149" i="73"/>
  <c r="P149" i="73"/>
  <c r="O149" i="73"/>
  <c r="K149" i="73"/>
  <c r="J149" i="73"/>
  <c r="M179" i="73"/>
  <c r="M239" i="73" s="1"/>
  <c r="L149" i="73"/>
  <c r="K179" i="73"/>
  <c r="K239" i="73" s="1"/>
  <c r="Q179" i="73"/>
  <c r="Q239" i="73" s="1"/>
  <c r="Q149" i="73"/>
  <c r="Q181" i="73"/>
  <c r="Q241" i="73" s="1"/>
  <c r="P181" i="73"/>
  <c r="P241" i="73" s="1"/>
  <c r="P224" i="83" l="1"/>
  <c r="P98" i="71" s="1"/>
  <c r="P203" i="71" s="1"/>
  <c r="U137" i="83"/>
  <c r="N166" i="83"/>
  <c r="N38" i="71" s="1"/>
  <c r="N143" i="71" s="1"/>
  <c r="P152" i="73"/>
  <c r="M225" i="83"/>
  <c r="M99" i="71" s="1"/>
  <c r="M204" i="71" s="1"/>
  <c r="S167" i="83"/>
  <c r="S39" i="71" s="1"/>
  <c r="S144" i="71" s="1"/>
  <c r="S225" i="83"/>
  <c r="S99" i="71" s="1"/>
  <c r="S204" i="71" s="1"/>
  <c r="U225" i="83"/>
  <c r="U99" i="71" s="1"/>
  <c r="U204" i="71" s="1"/>
  <c r="W225" i="83"/>
  <c r="W99" i="71" s="1"/>
  <c r="W204" i="71" s="1"/>
  <c r="K225" i="83"/>
  <c r="K99" i="71" s="1"/>
  <c r="K204" i="71" s="1"/>
  <c r="U196" i="83"/>
  <c r="U69" i="71" s="1"/>
  <c r="U174" i="71" s="1"/>
  <c r="W138" i="83"/>
  <c r="R225" i="83"/>
  <c r="R99" i="71" s="1"/>
  <c r="R204" i="71" s="1"/>
  <c r="Y196" i="83"/>
  <c r="Y69" i="71" s="1"/>
  <c r="Y174" i="71" s="1"/>
  <c r="N225" i="83"/>
  <c r="N99" i="71" s="1"/>
  <c r="N204" i="71" s="1"/>
  <c r="X196" i="83"/>
  <c r="X69" i="71" s="1"/>
  <c r="X174" i="71" s="1"/>
  <c r="Y138" i="83"/>
  <c r="W167" i="83"/>
  <c r="W39" i="71" s="1"/>
  <c r="W144" i="71" s="1"/>
  <c r="R167" i="83"/>
  <c r="R39" i="71" s="1"/>
  <c r="R144" i="71" s="1"/>
  <c r="K196" i="83"/>
  <c r="K69" i="71" s="1"/>
  <c r="K174" i="71" s="1"/>
  <c r="X225" i="83"/>
  <c r="X99" i="71" s="1"/>
  <c r="X204" i="71" s="1"/>
  <c r="Y225" i="83"/>
  <c r="Y99" i="71" s="1"/>
  <c r="Y204" i="71" s="1"/>
  <c r="K167" i="83"/>
  <c r="K39" i="71" s="1"/>
  <c r="K144" i="71" s="1"/>
  <c r="X138" i="83"/>
  <c r="M196" i="83"/>
  <c r="M69" i="71" s="1"/>
  <c r="M174" i="71" s="1"/>
  <c r="P196" i="83"/>
  <c r="P69" i="71" s="1"/>
  <c r="P174" i="71" s="1"/>
  <c r="Q167" i="83"/>
  <c r="Q39" i="71" s="1"/>
  <c r="Q144" i="71" s="1"/>
  <c r="N138" i="83"/>
  <c r="N140" i="72" s="1"/>
  <c r="N210" i="72" s="1"/>
  <c r="N240" i="72" s="1"/>
  <c r="J196" i="83"/>
  <c r="J69" i="71" s="1"/>
  <c r="J174" i="71" s="1"/>
  <c r="X167" i="83"/>
  <c r="X39" i="71" s="1"/>
  <c r="X144" i="71" s="1"/>
  <c r="M167" i="83"/>
  <c r="M39" i="71" s="1"/>
  <c r="M144" i="71" s="1"/>
  <c r="Q225" i="83"/>
  <c r="Q99" i="71" s="1"/>
  <c r="Q204" i="71" s="1"/>
  <c r="L196" i="83"/>
  <c r="L69" i="71" s="1"/>
  <c r="L174" i="71" s="1"/>
  <c r="V196" i="83"/>
  <c r="V69" i="71" s="1"/>
  <c r="V174" i="71" s="1"/>
  <c r="V225" i="83"/>
  <c r="V99" i="71" s="1"/>
  <c r="V204" i="71" s="1"/>
  <c r="Y167" i="83"/>
  <c r="Y39" i="71" s="1"/>
  <c r="Y144" i="71" s="1"/>
  <c r="V167" i="83"/>
  <c r="V39" i="71" s="1"/>
  <c r="V144" i="71" s="1"/>
  <c r="S138" i="83"/>
  <c r="O225" i="83"/>
  <c r="O99" i="71" s="1"/>
  <c r="O204" i="71" s="1"/>
  <c r="J167" i="83"/>
  <c r="J39" i="71" s="1"/>
  <c r="J144" i="71" s="1"/>
  <c r="T225" i="83"/>
  <c r="T99" i="71" s="1"/>
  <c r="T204" i="71" s="1"/>
  <c r="U167" i="83"/>
  <c r="U39" i="71" s="1"/>
  <c r="U144" i="71" s="1"/>
  <c r="W196" i="83"/>
  <c r="W69" i="71" s="1"/>
  <c r="W174" i="71" s="1"/>
  <c r="T196" i="83"/>
  <c r="T69" i="71" s="1"/>
  <c r="T174" i="71" s="1"/>
  <c r="U138" i="83"/>
  <c r="T138" i="83"/>
  <c r="J225" i="83"/>
  <c r="J99" i="71" s="1"/>
  <c r="J204" i="71" s="1"/>
  <c r="L225" i="83"/>
  <c r="L99" i="71" s="1"/>
  <c r="L204" i="71" s="1"/>
  <c r="K138" i="83"/>
  <c r="K140" i="72" s="1"/>
  <c r="K210" i="72" s="1"/>
  <c r="K240" i="72" s="1"/>
  <c r="S196" i="83"/>
  <c r="S69" i="71" s="1"/>
  <c r="S174" i="71" s="1"/>
  <c r="R138" i="83"/>
  <c r="L167" i="83"/>
  <c r="L39" i="71" s="1"/>
  <c r="L144" i="71" s="1"/>
  <c r="N196" i="83"/>
  <c r="N69" i="71" s="1"/>
  <c r="N174" i="71" s="1"/>
  <c r="Q138" i="83"/>
  <c r="Q140" i="72" s="1"/>
  <c r="Q210" i="72" s="1"/>
  <c r="Q240" i="72" s="1"/>
  <c r="N167" i="83"/>
  <c r="N39" i="71" s="1"/>
  <c r="N144" i="71" s="1"/>
  <c r="P167" i="83"/>
  <c r="P39" i="71" s="1"/>
  <c r="P144" i="71" s="1"/>
  <c r="P225" i="83"/>
  <c r="P99" i="71" s="1"/>
  <c r="P204" i="71" s="1"/>
  <c r="R196" i="83"/>
  <c r="R69" i="71" s="1"/>
  <c r="R174" i="71" s="1"/>
  <c r="J138" i="83"/>
  <c r="J140" i="72" s="1"/>
  <c r="J210" i="72" s="1"/>
  <c r="J240" i="72" s="1"/>
  <c r="U230" i="83"/>
  <c r="U104" i="71" s="1"/>
  <c r="U209" i="71" s="1"/>
  <c r="J230" i="83"/>
  <c r="J104" i="71" s="1"/>
  <c r="J209" i="71" s="1"/>
  <c r="P148" i="73"/>
  <c r="P278" i="73" s="1"/>
  <c r="P41" i="74" s="1"/>
  <c r="P86" i="74" s="1"/>
  <c r="J148" i="73"/>
  <c r="L148" i="73"/>
  <c r="L208" i="73" s="1"/>
  <c r="V172" i="83"/>
  <c r="V44" i="71" s="1"/>
  <c r="V149" i="71" s="1"/>
  <c r="M148" i="73"/>
  <c r="M278" i="73" s="1"/>
  <c r="M41" i="74" s="1"/>
  <c r="M86" i="74" s="1"/>
  <c r="M178" i="73"/>
  <c r="M238" i="73" s="1"/>
  <c r="Q150" i="73"/>
  <c r="T172" i="83"/>
  <c r="T44" i="71" s="1"/>
  <c r="T149" i="71" s="1"/>
  <c r="Q148" i="73"/>
  <c r="Q278" i="73" s="1"/>
  <c r="Q41" i="74" s="1"/>
  <c r="Q86" i="74" s="1"/>
  <c r="O148" i="73"/>
  <c r="O278" i="73" s="1"/>
  <c r="O41" i="74" s="1"/>
  <c r="O86" i="74" s="1"/>
  <c r="K178" i="73"/>
  <c r="K238" i="73" s="1"/>
  <c r="J172" i="83"/>
  <c r="J44" i="71" s="1"/>
  <c r="J149" i="71" s="1"/>
  <c r="K148" i="73"/>
  <c r="K278" i="73" s="1"/>
  <c r="K41" i="74" s="1"/>
  <c r="K86" i="74" s="1"/>
  <c r="N178" i="73"/>
  <c r="N238" i="73" s="1"/>
  <c r="Q230" i="83"/>
  <c r="Q104" i="71" s="1"/>
  <c r="Q209" i="71" s="1"/>
  <c r="Q178" i="73"/>
  <c r="Q238" i="73" s="1"/>
  <c r="Q201" i="83"/>
  <c r="Q74" i="71" s="1"/>
  <c r="Q179" i="71" s="1"/>
  <c r="L151" i="73"/>
  <c r="L281" i="73" s="1"/>
  <c r="L44" i="74" s="1"/>
  <c r="L89" i="74" s="1"/>
  <c r="P166" i="83"/>
  <c r="P38" i="71" s="1"/>
  <c r="P143" i="71" s="1"/>
  <c r="O137" i="83"/>
  <c r="O139" i="72" s="1"/>
  <c r="O209" i="72" s="1"/>
  <c r="O239" i="72" s="1"/>
  <c r="O181" i="73"/>
  <c r="O241" i="73" s="1"/>
  <c r="M224" i="83"/>
  <c r="M98" i="71" s="1"/>
  <c r="M203" i="71" s="1"/>
  <c r="T166" i="83"/>
  <c r="T38" i="71" s="1"/>
  <c r="T143" i="71" s="1"/>
  <c r="R224" i="83"/>
  <c r="R98" i="71" s="1"/>
  <c r="R203" i="71" s="1"/>
  <c r="J181" i="73"/>
  <c r="J241" i="73" s="1"/>
  <c r="J151" i="73"/>
  <c r="J211" i="73" s="1"/>
  <c r="Q137" i="83"/>
  <c r="Q139" i="72" s="1"/>
  <c r="Q209" i="72" s="1"/>
  <c r="Q239" i="72" s="1"/>
  <c r="P144" i="83"/>
  <c r="P146" i="72" s="1"/>
  <c r="P216" i="72" s="1"/>
  <c r="P246" i="72" s="1"/>
  <c r="K151" i="73"/>
  <c r="K281" i="73" s="1"/>
  <c r="K44" i="74" s="1"/>
  <c r="K89" i="74" s="1"/>
  <c r="W166" i="83"/>
  <c r="W38" i="71" s="1"/>
  <c r="W143" i="71" s="1"/>
  <c r="Q151" i="73"/>
  <c r="Y224" i="83"/>
  <c r="Y98" i="71" s="1"/>
  <c r="Y203" i="71" s="1"/>
  <c r="J137" i="83"/>
  <c r="J139" i="72" s="1"/>
  <c r="J209" i="72" s="1"/>
  <c r="J239" i="72" s="1"/>
  <c r="O231" i="83"/>
  <c r="O105" i="71" s="1"/>
  <c r="O210" i="71" s="1"/>
  <c r="K181" i="73"/>
  <c r="K241" i="73" s="1"/>
  <c r="P151" i="73"/>
  <c r="P211" i="73" s="1"/>
  <c r="Q224" i="83"/>
  <c r="Q98" i="71" s="1"/>
  <c r="Q203" i="71" s="1"/>
  <c r="T137" i="83"/>
  <c r="L182" i="73"/>
  <c r="L242" i="73" s="1"/>
  <c r="Y141" i="83"/>
  <c r="S181" i="72"/>
  <c r="S216" i="72" s="1"/>
  <c r="S246" i="72" s="1"/>
  <c r="Q144" i="83"/>
  <c r="Q146" i="72" s="1"/>
  <c r="Q216" i="72" s="1"/>
  <c r="Q246" i="72" s="1"/>
  <c r="K231" i="83"/>
  <c r="K105" i="71" s="1"/>
  <c r="K210" i="71" s="1"/>
  <c r="T181" i="72"/>
  <c r="T216" i="72" s="1"/>
  <c r="T246" i="72" s="1"/>
  <c r="T231" i="83"/>
  <c r="T105" i="71" s="1"/>
  <c r="T210" i="71" s="1"/>
  <c r="M183" i="73"/>
  <c r="M243" i="73" s="1"/>
  <c r="V231" i="83"/>
  <c r="V105" i="71" s="1"/>
  <c r="V210" i="71" s="1"/>
  <c r="L173" i="83"/>
  <c r="L45" i="71" s="1"/>
  <c r="L150" i="71" s="1"/>
  <c r="P231" i="83"/>
  <c r="P105" i="71" s="1"/>
  <c r="P210" i="71" s="1"/>
  <c r="L144" i="83"/>
  <c r="L146" i="72" s="1"/>
  <c r="L216" i="72" s="1"/>
  <c r="L246" i="72" s="1"/>
  <c r="V144" i="83"/>
  <c r="J173" i="83"/>
  <c r="J45" i="71" s="1"/>
  <c r="J150" i="71" s="1"/>
  <c r="V174" i="72"/>
  <c r="V209" i="72" s="1"/>
  <c r="V239" i="72" s="1"/>
  <c r="W144" i="83"/>
  <c r="N173" i="83"/>
  <c r="N45" i="71" s="1"/>
  <c r="N150" i="71" s="1"/>
  <c r="W202" i="83"/>
  <c r="W75" i="71" s="1"/>
  <c r="W180" i="71" s="1"/>
  <c r="J231" i="83"/>
  <c r="J105" i="71" s="1"/>
  <c r="J210" i="71" s="1"/>
  <c r="O144" i="83"/>
  <c r="O146" i="72" s="1"/>
  <c r="O216" i="72" s="1"/>
  <c r="O246" i="72" s="1"/>
  <c r="J153" i="73"/>
  <c r="J283" i="73" s="1"/>
  <c r="J46" i="74" s="1"/>
  <c r="J91" i="74" s="1"/>
  <c r="P153" i="73"/>
  <c r="P213" i="73" s="1"/>
  <c r="L153" i="73"/>
  <c r="L213" i="73" s="1"/>
  <c r="L183" i="73"/>
  <c r="L243" i="73" s="1"/>
  <c r="Y179" i="72"/>
  <c r="Y214" i="72" s="1"/>
  <c r="Y244" i="72" s="1"/>
  <c r="O153" i="73"/>
  <c r="O283" i="73" s="1"/>
  <c r="O46" i="74" s="1"/>
  <c r="O91" i="74" s="1"/>
  <c r="T179" i="72"/>
  <c r="T214" i="72" s="1"/>
  <c r="T244" i="72" s="1"/>
  <c r="O151" i="73"/>
  <c r="O211" i="73" s="1"/>
  <c r="L181" i="73"/>
  <c r="L241" i="73" s="1"/>
  <c r="O183" i="73"/>
  <c r="O243" i="73" s="1"/>
  <c r="J183" i="73"/>
  <c r="J243" i="73" s="1"/>
  <c r="U195" i="83"/>
  <c r="U68" i="71" s="1"/>
  <c r="U173" i="71" s="1"/>
  <c r="N224" i="83"/>
  <c r="N98" i="71" s="1"/>
  <c r="N203" i="71" s="1"/>
  <c r="K166" i="83"/>
  <c r="K38" i="71" s="1"/>
  <c r="K143" i="71" s="1"/>
  <c r="N195" i="83"/>
  <c r="N68" i="71" s="1"/>
  <c r="N173" i="71" s="1"/>
  <c r="T195" i="83"/>
  <c r="T68" i="71" s="1"/>
  <c r="T173" i="71" s="1"/>
  <c r="X137" i="83"/>
  <c r="L195" i="83"/>
  <c r="L68" i="71" s="1"/>
  <c r="L173" i="71" s="1"/>
  <c r="O152" i="73"/>
  <c r="O282" i="73" s="1"/>
  <c r="O45" i="74" s="1"/>
  <c r="O90" i="74" s="1"/>
  <c r="M152" i="73"/>
  <c r="M282" i="73" s="1"/>
  <c r="M45" i="74" s="1"/>
  <c r="M90" i="74" s="1"/>
  <c r="U179" i="72"/>
  <c r="U214" i="72" s="1"/>
  <c r="U244" i="72" s="1"/>
  <c r="M181" i="73"/>
  <c r="M241" i="73" s="1"/>
  <c r="N181" i="73"/>
  <c r="N241" i="73" s="1"/>
  <c r="P183" i="73"/>
  <c r="P243" i="73" s="1"/>
  <c r="K183" i="73"/>
  <c r="K243" i="73" s="1"/>
  <c r="V195" i="83"/>
  <c r="V68" i="71" s="1"/>
  <c r="V173" i="71" s="1"/>
  <c r="O195" i="83"/>
  <c r="O68" i="71" s="1"/>
  <c r="O173" i="71" s="1"/>
  <c r="X195" i="83"/>
  <c r="X68" i="71" s="1"/>
  <c r="X173" i="71" s="1"/>
  <c r="S195" i="83"/>
  <c r="S68" i="71" s="1"/>
  <c r="S173" i="71" s="1"/>
  <c r="M137" i="83"/>
  <c r="M139" i="72" s="1"/>
  <c r="M209" i="72" s="1"/>
  <c r="M239" i="72" s="1"/>
  <c r="L166" i="83"/>
  <c r="L38" i="71" s="1"/>
  <c r="L143" i="71" s="1"/>
  <c r="Q195" i="83"/>
  <c r="Q68" i="71" s="1"/>
  <c r="Q173" i="71" s="1"/>
  <c r="L152" i="73"/>
  <c r="L282" i="73" s="1"/>
  <c r="L45" i="74" s="1"/>
  <c r="L90" i="74" s="1"/>
  <c r="T174" i="72"/>
  <c r="T209" i="72" s="1"/>
  <c r="T239" i="72" s="1"/>
  <c r="X179" i="72"/>
  <c r="X214" i="72" s="1"/>
  <c r="X244" i="72" s="1"/>
  <c r="N183" i="73"/>
  <c r="N243" i="73" s="1"/>
  <c r="M153" i="73"/>
  <c r="M283" i="73" s="1"/>
  <c r="M46" i="74" s="1"/>
  <c r="M91" i="74" s="1"/>
  <c r="L137" i="83"/>
  <c r="L139" i="72" s="1"/>
  <c r="L209" i="72" s="1"/>
  <c r="L239" i="72" s="1"/>
  <c r="V224" i="83"/>
  <c r="V98" i="71" s="1"/>
  <c r="V203" i="71" s="1"/>
  <c r="R195" i="83"/>
  <c r="R68" i="71" s="1"/>
  <c r="R173" i="71" s="1"/>
  <c r="Y195" i="83"/>
  <c r="Y68" i="71" s="1"/>
  <c r="Y173" i="71" s="1"/>
  <c r="U166" i="83"/>
  <c r="U38" i="71" s="1"/>
  <c r="U143" i="71" s="1"/>
  <c r="S166" i="83"/>
  <c r="S38" i="71" s="1"/>
  <c r="S143" i="71" s="1"/>
  <c r="V166" i="83"/>
  <c r="V38" i="71" s="1"/>
  <c r="V143" i="71" s="1"/>
  <c r="M182" i="73"/>
  <c r="M242" i="73" s="1"/>
  <c r="Y174" i="72"/>
  <c r="Y209" i="72" s="1"/>
  <c r="Y239" i="72" s="1"/>
  <c r="X166" i="83"/>
  <c r="X38" i="71" s="1"/>
  <c r="X143" i="71" s="1"/>
  <c r="P195" i="83"/>
  <c r="P68" i="71" s="1"/>
  <c r="P173" i="71" s="1"/>
  <c r="O166" i="83"/>
  <c r="O38" i="71" s="1"/>
  <c r="O143" i="71" s="1"/>
  <c r="V137" i="83"/>
  <c r="W195" i="83"/>
  <c r="W68" i="71" s="1"/>
  <c r="W173" i="71" s="1"/>
  <c r="U224" i="83"/>
  <c r="U98" i="71" s="1"/>
  <c r="U203" i="71" s="1"/>
  <c r="Q152" i="73"/>
  <c r="Q212" i="73" s="1"/>
  <c r="W174" i="72"/>
  <c r="W209" i="72" s="1"/>
  <c r="W239" i="72" s="1"/>
  <c r="M151" i="73"/>
  <c r="M281" i="73" s="1"/>
  <c r="M44" i="74" s="1"/>
  <c r="M89" i="74" s="1"/>
  <c r="Q153" i="73"/>
  <c r="Q283" i="73" s="1"/>
  <c r="Q46" i="74" s="1"/>
  <c r="Q91" i="74" s="1"/>
  <c r="M166" i="83"/>
  <c r="M38" i="71" s="1"/>
  <c r="M143" i="71" s="1"/>
  <c r="N137" i="83"/>
  <c r="N139" i="72" s="1"/>
  <c r="N209" i="72" s="1"/>
  <c r="N239" i="72" s="1"/>
  <c r="O224" i="83"/>
  <c r="O98" i="71" s="1"/>
  <c r="O203" i="71" s="1"/>
  <c r="Y137" i="83"/>
  <c r="Q166" i="83"/>
  <c r="Q38" i="71" s="1"/>
  <c r="Q143" i="71" s="1"/>
  <c r="K195" i="83"/>
  <c r="K68" i="71" s="1"/>
  <c r="K173" i="71" s="1"/>
  <c r="M195" i="83"/>
  <c r="M68" i="71" s="1"/>
  <c r="M173" i="71" s="1"/>
  <c r="N152" i="73"/>
  <c r="N282" i="73" s="1"/>
  <c r="N45" i="74" s="1"/>
  <c r="N90" i="74" s="1"/>
  <c r="J182" i="73"/>
  <c r="J242" i="73" s="1"/>
  <c r="K153" i="73"/>
  <c r="K213" i="73" s="1"/>
  <c r="W137" i="83"/>
  <c r="X224" i="83"/>
  <c r="X98" i="71" s="1"/>
  <c r="X203" i="71" s="1"/>
  <c r="T224" i="83"/>
  <c r="T98" i="71" s="1"/>
  <c r="T203" i="71" s="1"/>
  <c r="K137" i="83"/>
  <c r="K139" i="72" s="1"/>
  <c r="K209" i="72" s="1"/>
  <c r="K239" i="72" s="1"/>
  <c r="Y166" i="83"/>
  <c r="Y38" i="71" s="1"/>
  <c r="Y143" i="71" s="1"/>
  <c r="L224" i="83"/>
  <c r="L98" i="71" s="1"/>
  <c r="L203" i="71" s="1"/>
  <c r="J195" i="83"/>
  <c r="J68" i="71" s="1"/>
  <c r="J173" i="71" s="1"/>
  <c r="J152" i="73"/>
  <c r="J212" i="73" s="1"/>
  <c r="P182" i="73"/>
  <c r="P242" i="73" s="1"/>
  <c r="Y180" i="72"/>
  <c r="Y215" i="72" s="1"/>
  <c r="Y245" i="72" s="1"/>
  <c r="X230" i="83"/>
  <c r="X104" i="71" s="1"/>
  <c r="X209" i="71" s="1"/>
  <c r="M230" i="83"/>
  <c r="M104" i="71" s="1"/>
  <c r="M209" i="71" s="1"/>
  <c r="Y143" i="83"/>
  <c r="W201" i="83"/>
  <c r="W74" i="71" s="1"/>
  <c r="W179" i="71" s="1"/>
  <c r="M143" i="83"/>
  <c r="M145" i="72" s="1"/>
  <c r="M215" i="72" s="1"/>
  <c r="M245" i="72" s="1"/>
  <c r="L201" i="83"/>
  <c r="L74" i="71" s="1"/>
  <c r="L179" i="71" s="1"/>
  <c r="X143" i="83"/>
  <c r="M150" i="73"/>
  <c r="M210" i="73" s="1"/>
  <c r="V201" i="83"/>
  <c r="V74" i="71" s="1"/>
  <c r="V179" i="71" s="1"/>
  <c r="O143" i="83"/>
  <c r="O145" i="72" s="1"/>
  <c r="O215" i="72" s="1"/>
  <c r="O245" i="72" s="1"/>
  <c r="Q143" i="83"/>
  <c r="Q145" i="72" s="1"/>
  <c r="Q215" i="72" s="1"/>
  <c r="Q245" i="72" s="1"/>
  <c r="S201" i="83"/>
  <c r="S74" i="71" s="1"/>
  <c r="S179" i="71" s="1"/>
  <c r="K201" i="83"/>
  <c r="K74" i="71" s="1"/>
  <c r="K179" i="71" s="1"/>
  <c r="V230" i="83"/>
  <c r="V104" i="71" s="1"/>
  <c r="V209" i="71" s="1"/>
  <c r="S230" i="83"/>
  <c r="S104" i="71" s="1"/>
  <c r="S209" i="71" s="1"/>
  <c r="N180" i="73"/>
  <c r="N240" i="73" s="1"/>
  <c r="P172" i="83"/>
  <c r="P44" i="71" s="1"/>
  <c r="P149" i="71" s="1"/>
  <c r="K143" i="83"/>
  <c r="K145" i="72" s="1"/>
  <c r="K215" i="72" s="1"/>
  <c r="K245" i="72" s="1"/>
  <c r="O172" i="83"/>
  <c r="O44" i="71" s="1"/>
  <c r="O149" i="71" s="1"/>
  <c r="U201" i="83"/>
  <c r="U74" i="71" s="1"/>
  <c r="U179" i="71" s="1"/>
  <c r="N201" i="83"/>
  <c r="N74" i="71" s="1"/>
  <c r="N179" i="71" s="1"/>
  <c r="T230" i="83"/>
  <c r="T104" i="71" s="1"/>
  <c r="T209" i="71" s="1"/>
  <c r="K230" i="83"/>
  <c r="K104" i="71" s="1"/>
  <c r="K209" i="71" s="1"/>
  <c r="P150" i="73"/>
  <c r="P280" i="73" s="1"/>
  <c r="P43" i="74" s="1"/>
  <c r="P88" i="74" s="1"/>
  <c r="K150" i="73"/>
  <c r="K280" i="73" s="1"/>
  <c r="K43" i="74" s="1"/>
  <c r="K88" i="74" s="1"/>
  <c r="T201" i="83"/>
  <c r="T74" i="71" s="1"/>
  <c r="T179" i="71" s="1"/>
  <c r="S172" i="83"/>
  <c r="S44" i="71" s="1"/>
  <c r="S149" i="71" s="1"/>
  <c r="L172" i="83"/>
  <c r="L44" i="71" s="1"/>
  <c r="L149" i="71" s="1"/>
  <c r="W143" i="83"/>
  <c r="R201" i="83"/>
  <c r="R74" i="71" s="1"/>
  <c r="R179" i="71" s="1"/>
  <c r="P201" i="83"/>
  <c r="P74" i="71" s="1"/>
  <c r="P179" i="71" s="1"/>
  <c r="N172" i="83"/>
  <c r="N44" i="71" s="1"/>
  <c r="N149" i="71" s="1"/>
  <c r="L150" i="73"/>
  <c r="L280" i="73" s="1"/>
  <c r="L43" i="74" s="1"/>
  <c r="L88" i="74" s="1"/>
  <c r="L180" i="73"/>
  <c r="L240" i="73" s="1"/>
  <c r="W172" i="83"/>
  <c r="W44" i="71" s="1"/>
  <c r="W149" i="71" s="1"/>
  <c r="O201" i="83"/>
  <c r="O74" i="71" s="1"/>
  <c r="O179" i="71" s="1"/>
  <c r="X201" i="83"/>
  <c r="X74" i="71" s="1"/>
  <c r="X179" i="71" s="1"/>
  <c r="V143" i="83"/>
  <c r="Y172" i="83"/>
  <c r="Y44" i="71" s="1"/>
  <c r="Y149" i="71" s="1"/>
  <c r="Q172" i="83"/>
  <c r="Q44" i="71" s="1"/>
  <c r="Q149" i="71" s="1"/>
  <c r="O230" i="83"/>
  <c r="O104" i="71" s="1"/>
  <c r="O209" i="71" s="1"/>
  <c r="O150" i="73"/>
  <c r="O280" i="73" s="1"/>
  <c r="O43" i="74" s="1"/>
  <c r="O88" i="74" s="1"/>
  <c r="Q180" i="73"/>
  <c r="Q240" i="73" s="1"/>
  <c r="M201" i="83"/>
  <c r="M74" i="71" s="1"/>
  <c r="M179" i="71" s="1"/>
  <c r="R230" i="83"/>
  <c r="R104" i="71" s="1"/>
  <c r="R209" i="71" s="1"/>
  <c r="J143" i="83"/>
  <c r="J145" i="72" s="1"/>
  <c r="J215" i="72" s="1"/>
  <c r="J245" i="72" s="1"/>
  <c r="W230" i="83"/>
  <c r="W104" i="71" s="1"/>
  <c r="W209" i="71" s="1"/>
  <c r="N230" i="83"/>
  <c r="N104" i="71" s="1"/>
  <c r="N209" i="71" s="1"/>
  <c r="L143" i="83"/>
  <c r="L145" i="72" s="1"/>
  <c r="L215" i="72" s="1"/>
  <c r="L245" i="72" s="1"/>
  <c r="N143" i="83"/>
  <c r="N145" i="72" s="1"/>
  <c r="N215" i="72" s="1"/>
  <c r="N245" i="72" s="1"/>
  <c r="M180" i="73"/>
  <c r="M240" i="73" s="1"/>
  <c r="P143" i="83"/>
  <c r="P145" i="72" s="1"/>
  <c r="P215" i="72" s="1"/>
  <c r="P245" i="72" s="1"/>
  <c r="Y230" i="83"/>
  <c r="Y104" i="71" s="1"/>
  <c r="Y209" i="71" s="1"/>
  <c r="T143" i="83"/>
  <c r="R143" i="83"/>
  <c r="R172" i="83"/>
  <c r="R44" i="71" s="1"/>
  <c r="R149" i="71" s="1"/>
  <c r="M172" i="83"/>
  <c r="M44" i="71" s="1"/>
  <c r="M149" i="71" s="1"/>
  <c r="X172" i="83"/>
  <c r="X44" i="71" s="1"/>
  <c r="X149" i="71" s="1"/>
  <c r="K180" i="73"/>
  <c r="K240" i="73" s="1"/>
  <c r="U173" i="72"/>
  <c r="U208" i="72" s="1"/>
  <c r="U238" i="72" s="1"/>
  <c r="N150" i="73"/>
  <c r="N280" i="73" s="1"/>
  <c r="N43" i="74" s="1"/>
  <c r="N88" i="74" s="1"/>
  <c r="P180" i="73"/>
  <c r="P240" i="73" s="1"/>
  <c r="W173" i="72"/>
  <c r="W208" i="72" s="1"/>
  <c r="W238" i="72" s="1"/>
  <c r="W177" i="72"/>
  <c r="W212" i="72" s="1"/>
  <c r="W242" i="72" s="1"/>
  <c r="X177" i="72"/>
  <c r="X212" i="72" s="1"/>
  <c r="X242" i="72" s="1"/>
  <c r="V200" i="83"/>
  <c r="V73" i="71" s="1"/>
  <c r="V178" i="71" s="1"/>
  <c r="Y229" i="83"/>
  <c r="Y103" i="71" s="1"/>
  <c r="Y208" i="71" s="1"/>
  <c r="L141" i="83"/>
  <c r="L143" i="72" s="1"/>
  <c r="L213" i="72" s="1"/>
  <c r="L243" i="72" s="1"/>
  <c r="U176" i="72"/>
  <c r="U211" i="72" s="1"/>
  <c r="U241" i="72" s="1"/>
  <c r="Y199" i="83"/>
  <c r="Y72" i="71" s="1"/>
  <c r="Y177" i="71" s="1"/>
  <c r="V176" i="72"/>
  <c r="V211" i="72" s="1"/>
  <c r="V241" i="72" s="1"/>
  <c r="V228" i="83"/>
  <c r="V102" i="71" s="1"/>
  <c r="V207" i="71" s="1"/>
  <c r="N228" i="83"/>
  <c r="N102" i="71" s="1"/>
  <c r="N207" i="71" s="1"/>
  <c r="M147" i="73"/>
  <c r="M207" i="73" s="1"/>
  <c r="X197" i="83"/>
  <c r="X70" i="71" s="1"/>
  <c r="X175" i="71" s="1"/>
  <c r="R175" i="72"/>
  <c r="R210" i="72" s="1"/>
  <c r="R240" i="72" s="1"/>
  <c r="Q147" i="73"/>
  <c r="Q277" i="73" s="1"/>
  <c r="Q40" i="74" s="1"/>
  <c r="Q85" i="74" s="1"/>
  <c r="Y226" i="83"/>
  <c r="Y100" i="71" s="1"/>
  <c r="Y205" i="71" s="1"/>
  <c r="X175" i="72"/>
  <c r="X210" i="72" s="1"/>
  <c r="X240" i="72" s="1"/>
  <c r="M177" i="73"/>
  <c r="M237" i="73" s="1"/>
  <c r="W175" i="72"/>
  <c r="W210" i="72" s="1"/>
  <c r="W240" i="72" s="1"/>
  <c r="L177" i="73"/>
  <c r="L237" i="73" s="1"/>
  <c r="U142" i="83"/>
  <c r="Q229" i="83"/>
  <c r="Q103" i="71" s="1"/>
  <c r="Q208" i="71" s="1"/>
  <c r="V175" i="72"/>
  <c r="V210" i="72" s="1"/>
  <c r="V240" i="72" s="1"/>
  <c r="X176" i="72"/>
  <c r="X211" i="72" s="1"/>
  <c r="X241" i="72" s="1"/>
  <c r="N147" i="73"/>
  <c r="N207" i="73" s="1"/>
  <c r="J147" i="73"/>
  <c r="J277" i="73" s="1"/>
  <c r="J40" i="74" s="1"/>
  <c r="J85" i="74" s="1"/>
  <c r="R168" i="83"/>
  <c r="R40" i="71" s="1"/>
  <c r="R145" i="71" s="1"/>
  <c r="S229" i="83"/>
  <c r="S103" i="71" s="1"/>
  <c r="S208" i="71" s="1"/>
  <c r="T229" i="83"/>
  <c r="T103" i="71" s="1"/>
  <c r="T208" i="71" s="1"/>
  <c r="L147" i="73"/>
  <c r="L277" i="73" s="1"/>
  <c r="L40" i="74" s="1"/>
  <c r="L85" i="74" s="1"/>
  <c r="O147" i="73"/>
  <c r="O277" i="73" s="1"/>
  <c r="O40" i="74" s="1"/>
  <c r="O85" i="74" s="1"/>
  <c r="K197" i="83"/>
  <c r="K70" i="71" s="1"/>
  <c r="K175" i="71" s="1"/>
  <c r="Y176" i="72"/>
  <c r="Y211" i="72" s="1"/>
  <c r="Y241" i="72" s="1"/>
  <c r="T175" i="72"/>
  <c r="T210" i="72" s="1"/>
  <c r="T240" i="72" s="1"/>
  <c r="R176" i="72"/>
  <c r="R211" i="72" s="1"/>
  <c r="R241" i="72" s="1"/>
  <c r="K147" i="73"/>
  <c r="K277" i="73" s="1"/>
  <c r="K40" i="74" s="1"/>
  <c r="K85" i="74" s="1"/>
  <c r="P177" i="73"/>
  <c r="P237" i="73" s="1"/>
  <c r="M197" i="83"/>
  <c r="M70" i="71" s="1"/>
  <c r="M175" i="71" s="1"/>
  <c r="W171" i="83"/>
  <c r="W43" i="71" s="1"/>
  <c r="W148" i="71" s="1"/>
  <c r="K199" i="83"/>
  <c r="K72" i="71" s="1"/>
  <c r="K177" i="71" s="1"/>
  <c r="K177" i="73"/>
  <c r="K237" i="73" s="1"/>
  <c r="P147" i="73"/>
  <c r="P277" i="73" s="1"/>
  <c r="P40" i="74" s="1"/>
  <c r="P85" i="74" s="1"/>
  <c r="Y139" i="83"/>
  <c r="R142" i="83"/>
  <c r="M142" i="83"/>
  <c r="M144" i="72" s="1"/>
  <c r="M214" i="72" s="1"/>
  <c r="M244" i="72" s="1"/>
  <c r="L229" i="83"/>
  <c r="L103" i="71" s="1"/>
  <c r="L208" i="71" s="1"/>
  <c r="P141" i="83"/>
  <c r="P143" i="72" s="1"/>
  <c r="P213" i="72" s="1"/>
  <c r="P243" i="72" s="1"/>
  <c r="W176" i="72"/>
  <c r="W211" i="72" s="1"/>
  <c r="W241" i="72" s="1"/>
  <c r="O177" i="73"/>
  <c r="O237" i="73" s="1"/>
  <c r="J177" i="73"/>
  <c r="J237" i="73" s="1"/>
  <c r="K182" i="73"/>
  <c r="K242" i="73" s="1"/>
  <c r="Q182" i="73"/>
  <c r="Q242" i="73" s="1"/>
  <c r="N226" i="83"/>
  <c r="N100" i="71" s="1"/>
  <c r="N205" i="71" s="1"/>
  <c r="J142" i="83"/>
  <c r="J144" i="72" s="1"/>
  <c r="J214" i="72" s="1"/>
  <c r="J244" i="72" s="1"/>
  <c r="K200" i="83"/>
  <c r="K73" i="71" s="1"/>
  <c r="K178" i="71" s="1"/>
  <c r="N142" i="83"/>
  <c r="N144" i="72" s="1"/>
  <c r="N214" i="72" s="1"/>
  <c r="N244" i="72" s="1"/>
  <c r="S175" i="72"/>
  <c r="S210" i="72" s="1"/>
  <c r="S240" i="72" s="1"/>
  <c r="S176" i="72"/>
  <c r="S211" i="72" s="1"/>
  <c r="S241" i="72" s="1"/>
  <c r="X142" i="83"/>
  <c r="U175" i="72"/>
  <c r="U210" i="72" s="1"/>
  <c r="U240" i="72" s="1"/>
  <c r="Q142" i="83"/>
  <c r="Q144" i="72" s="1"/>
  <c r="Q214" i="72" s="1"/>
  <c r="Q244" i="72" s="1"/>
  <c r="J229" i="83"/>
  <c r="J103" i="71" s="1"/>
  <c r="J208" i="71" s="1"/>
  <c r="J228" i="83"/>
  <c r="J102" i="71" s="1"/>
  <c r="J207" i="71" s="1"/>
  <c r="N153" i="73"/>
  <c r="N283" i="73" s="1"/>
  <c r="N46" i="74" s="1"/>
  <c r="N91" i="74" s="1"/>
  <c r="R166" i="83"/>
  <c r="R38" i="71" s="1"/>
  <c r="R143" i="71" s="1"/>
  <c r="W224" i="83"/>
  <c r="W98" i="71" s="1"/>
  <c r="W203" i="71" s="1"/>
  <c r="J224" i="83"/>
  <c r="J98" i="71" s="1"/>
  <c r="J203" i="71" s="1"/>
  <c r="S224" i="83"/>
  <c r="S98" i="71" s="1"/>
  <c r="S203" i="71" s="1"/>
  <c r="S137" i="83"/>
  <c r="R137" i="83"/>
  <c r="J166" i="83"/>
  <c r="J38" i="71" s="1"/>
  <c r="J143" i="71" s="1"/>
  <c r="Q177" i="73"/>
  <c r="Q237" i="73" s="1"/>
  <c r="N182" i="73"/>
  <c r="N242" i="73" s="1"/>
  <c r="U178" i="72"/>
  <c r="U213" i="72" s="1"/>
  <c r="U243" i="72" s="1"/>
  <c r="J201" i="83"/>
  <c r="J74" i="71" s="1"/>
  <c r="J179" i="71" s="1"/>
  <c r="Y201" i="83"/>
  <c r="Y74" i="71" s="1"/>
  <c r="Y179" i="71" s="1"/>
  <c r="U172" i="83"/>
  <c r="U44" i="71" s="1"/>
  <c r="U149" i="71" s="1"/>
  <c r="P230" i="83"/>
  <c r="P104" i="71" s="1"/>
  <c r="P209" i="71" s="1"/>
  <c r="U143" i="83"/>
  <c r="K172" i="83"/>
  <c r="K44" i="71" s="1"/>
  <c r="K149" i="71" s="1"/>
  <c r="L230" i="83"/>
  <c r="L104" i="71" s="1"/>
  <c r="L209" i="71" s="1"/>
  <c r="O180" i="73"/>
  <c r="O240" i="73" s="1"/>
  <c r="L226" i="83"/>
  <c r="L100" i="71" s="1"/>
  <c r="L205" i="71" s="1"/>
  <c r="R228" i="83"/>
  <c r="R102" i="71" s="1"/>
  <c r="R207" i="71" s="1"/>
  <c r="O199" i="83"/>
  <c r="O72" i="71" s="1"/>
  <c r="O177" i="71" s="1"/>
  <c r="Y228" i="83"/>
  <c r="Y102" i="71" s="1"/>
  <c r="Y207" i="71" s="1"/>
  <c r="X141" i="83"/>
  <c r="M170" i="83"/>
  <c r="M42" i="71" s="1"/>
  <c r="M147" i="71" s="1"/>
  <c r="J141" i="83"/>
  <c r="J143" i="72" s="1"/>
  <c r="J213" i="72" s="1"/>
  <c r="J243" i="72" s="1"/>
  <c r="W170" i="83"/>
  <c r="W42" i="71" s="1"/>
  <c r="W147" i="71" s="1"/>
  <c r="X228" i="83"/>
  <c r="X102" i="71" s="1"/>
  <c r="X207" i="71" s="1"/>
  <c r="U165" i="83"/>
  <c r="U37" i="71" s="1"/>
  <c r="U142" i="71" s="1"/>
  <c r="K168" i="83"/>
  <c r="K40" i="71" s="1"/>
  <c r="K145" i="71" s="1"/>
  <c r="V197" i="83"/>
  <c r="V70" i="71" s="1"/>
  <c r="V175" i="71" s="1"/>
  <c r="N168" i="83"/>
  <c r="N40" i="71" s="1"/>
  <c r="N145" i="71" s="1"/>
  <c r="S139" i="83"/>
  <c r="R197" i="83"/>
  <c r="R70" i="71" s="1"/>
  <c r="R175" i="71" s="1"/>
  <c r="M226" i="83"/>
  <c r="M100" i="71" s="1"/>
  <c r="M205" i="71" s="1"/>
  <c r="W226" i="83"/>
  <c r="W100" i="71" s="1"/>
  <c r="W205" i="71" s="1"/>
  <c r="Y197" i="83"/>
  <c r="Y70" i="71" s="1"/>
  <c r="Y175" i="71" s="1"/>
  <c r="N199" i="83"/>
  <c r="N72" i="71" s="1"/>
  <c r="N177" i="71" s="1"/>
  <c r="X170" i="83"/>
  <c r="X42" i="71" s="1"/>
  <c r="X147" i="71" s="1"/>
  <c r="P170" i="83"/>
  <c r="P42" i="71" s="1"/>
  <c r="P147" i="71" s="1"/>
  <c r="X199" i="83"/>
  <c r="X72" i="71" s="1"/>
  <c r="X177" i="71" s="1"/>
  <c r="O141" i="83"/>
  <c r="O143" i="72" s="1"/>
  <c r="O213" i="72" s="1"/>
  <c r="O243" i="72" s="1"/>
  <c r="L170" i="83"/>
  <c r="L42" i="71" s="1"/>
  <c r="L147" i="71" s="1"/>
  <c r="J170" i="83"/>
  <c r="J42" i="71" s="1"/>
  <c r="J147" i="71" s="1"/>
  <c r="T199" i="83"/>
  <c r="T72" i="71" s="1"/>
  <c r="T177" i="71" s="1"/>
  <c r="T141" i="83"/>
  <c r="M228" i="83"/>
  <c r="M102" i="71" s="1"/>
  <c r="M207" i="71" s="1"/>
  <c r="X136" i="83"/>
  <c r="V168" i="83"/>
  <c r="V40" i="71" s="1"/>
  <c r="V145" i="71" s="1"/>
  <c r="Q168" i="83"/>
  <c r="Q40" i="71" s="1"/>
  <c r="Q145" i="71" s="1"/>
  <c r="Y168" i="83"/>
  <c r="Y40" i="71" s="1"/>
  <c r="Y145" i="71" s="1"/>
  <c r="T168" i="83"/>
  <c r="T40" i="71" s="1"/>
  <c r="T145" i="71" s="1"/>
  <c r="X139" i="83"/>
  <c r="Q226" i="83"/>
  <c r="Q100" i="71" s="1"/>
  <c r="Q205" i="71" s="1"/>
  <c r="R226" i="83"/>
  <c r="R100" i="71" s="1"/>
  <c r="R205" i="71" s="1"/>
  <c r="N197" i="83"/>
  <c r="N70" i="71" s="1"/>
  <c r="N175" i="71" s="1"/>
  <c r="L228" i="83"/>
  <c r="L102" i="71" s="1"/>
  <c r="L207" i="71" s="1"/>
  <c r="M165" i="83"/>
  <c r="M37" i="71" s="1"/>
  <c r="M142" i="71" s="1"/>
  <c r="J168" i="83"/>
  <c r="J40" i="71" s="1"/>
  <c r="J145" i="71" s="1"/>
  <c r="O139" i="83"/>
  <c r="O141" i="72" s="1"/>
  <c r="O211" i="72" s="1"/>
  <c r="O241" i="72" s="1"/>
  <c r="W197" i="83"/>
  <c r="W70" i="71" s="1"/>
  <c r="W175" i="71" s="1"/>
  <c r="S226" i="83"/>
  <c r="S100" i="71" s="1"/>
  <c r="S205" i="71" s="1"/>
  <c r="Q197" i="83"/>
  <c r="Q70" i="71" s="1"/>
  <c r="Q175" i="71" s="1"/>
  <c r="L139" i="83"/>
  <c r="L141" i="72" s="1"/>
  <c r="L211" i="72" s="1"/>
  <c r="L241" i="72" s="1"/>
  <c r="P139" i="83"/>
  <c r="P141" i="72" s="1"/>
  <c r="P211" i="72" s="1"/>
  <c r="P241" i="72" s="1"/>
  <c r="K226" i="83"/>
  <c r="K100" i="71" s="1"/>
  <c r="K205" i="71" s="1"/>
  <c r="R170" i="83"/>
  <c r="R42" i="71" s="1"/>
  <c r="R147" i="71" s="1"/>
  <c r="O176" i="73"/>
  <c r="O236" i="73" s="1"/>
  <c r="J199" i="83"/>
  <c r="J72" i="71" s="1"/>
  <c r="J177" i="71" s="1"/>
  <c r="U170" i="83"/>
  <c r="U42" i="71" s="1"/>
  <c r="U147" i="71" s="1"/>
  <c r="S199" i="83"/>
  <c r="S72" i="71" s="1"/>
  <c r="S177" i="71" s="1"/>
  <c r="P199" i="83"/>
  <c r="P72" i="71" s="1"/>
  <c r="P177" i="71" s="1"/>
  <c r="T170" i="83"/>
  <c r="T42" i="71" s="1"/>
  <c r="T147" i="71" s="1"/>
  <c r="Q141" i="83"/>
  <c r="Q143" i="72" s="1"/>
  <c r="Q213" i="72" s="1"/>
  <c r="Q243" i="72" s="1"/>
  <c r="M141" i="83"/>
  <c r="M143" i="72" s="1"/>
  <c r="M213" i="72" s="1"/>
  <c r="M243" i="72" s="1"/>
  <c r="T228" i="83"/>
  <c r="T102" i="71" s="1"/>
  <c r="T207" i="71" s="1"/>
  <c r="W223" i="83"/>
  <c r="W97" i="71" s="1"/>
  <c r="W202" i="71" s="1"/>
  <c r="P168" i="83"/>
  <c r="P40" i="71" s="1"/>
  <c r="P145" i="71" s="1"/>
  <c r="P226" i="83"/>
  <c r="P100" i="71" s="1"/>
  <c r="P205" i="71" s="1"/>
  <c r="O197" i="83"/>
  <c r="O70" i="71" s="1"/>
  <c r="O175" i="71" s="1"/>
  <c r="X168" i="83"/>
  <c r="X40" i="71" s="1"/>
  <c r="X145" i="71" s="1"/>
  <c r="U197" i="83"/>
  <c r="U70" i="71" s="1"/>
  <c r="U175" i="71" s="1"/>
  <c r="U139" i="83"/>
  <c r="Q139" i="83"/>
  <c r="Q141" i="72" s="1"/>
  <c r="Q211" i="72" s="1"/>
  <c r="Q241" i="72" s="1"/>
  <c r="W168" i="83"/>
  <c r="W40" i="71" s="1"/>
  <c r="W145" i="71" s="1"/>
  <c r="O146" i="73"/>
  <c r="O206" i="73" s="1"/>
  <c r="V141" i="83"/>
  <c r="Q170" i="83"/>
  <c r="Q42" i="71" s="1"/>
  <c r="Q147" i="71" s="1"/>
  <c r="W228" i="83"/>
  <c r="W102" i="71" s="1"/>
  <c r="W207" i="71" s="1"/>
  <c r="S170" i="83"/>
  <c r="S42" i="71" s="1"/>
  <c r="S147" i="71" s="1"/>
  <c r="V170" i="83"/>
  <c r="V42" i="71" s="1"/>
  <c r="V147" i="71" s="1"/>
  <c r="U141" i="83"/>
  <c r="O228" i="83"/>
  <c r="O102" i="71" s="1"/>
  <c r="O207" i="71" s="1"/>
  <c r="N170" i="83"/>
  <c r="N42" i="71" s="1"/>
  <c r="N147" i="71" s="1"/>
  <c r="U199" i="83"/>
  <c r="U72" i="71" s="1"/>
  <c r="U177" i="71" s="1"/>
  <c r="Q228" i="83"/>
  <c r="Q102" i="71" s="1"/>
  <c r="Q207" i="71" s="1"/>
  <c r="S165" i="83"/>
  <c r="S37" i="71" s="1"/>
  <c r="S142" i="71" s="1"/>
  <c r="X226" i="83"/>
  <c r="X100" i="71" s="1"/>
  <c r="X205" i="71" s="1"/>
  <c r="J197" i="83"/>
  <c r="J70" i="71" s="1"/>
  <c r="J175" i="71" s="1"/>
  <c r="M139" i="83"/>
  <c r="M141" i="72" s="1"/>
  <c r="M211" i="72" s="1"/>
  <c r="M241" i="72" s="1"/>
  <c r="V139" i="83"/>
  <c r="P197" i="83"/>
  <c r="P70" i="71" s="1"/>
  <c r="P175" i="71" s="1"/>
  <c r="R139" i="83"/>
  <c r="N139" i="83"/>
  <c r="N141" i="72" s="1"/>
  <c r="N211" i="72" s="1"/>
  <c r="N241" i="72" s="1"/>
  <c r="O168" i="83"/>
  <c r="O40" i="71" s="1"/>
  <c r="O145" i="71" s="1"/>
  <c r="M199" i="83"/>
  <c r="M72" i="71" s="1"/>
  <c r="M177" i="71" s="1"/>
  <c r="Y170" i="83"/>
  <c r="Y42" i="71" s="1"/>
  <c r="Y147" i="71" s="1"/>
  <c r="R141" i="83"/>
  <c r="N141" i="83"/>
  <c r="N143" i="72" s="1"/>
  <c r="N213" i="72" s="1"/>
  <c r="N243" i="72" s="1"/>
  <c r="K141" i="83"/>
  <c r="K143" i="72" s="1"/>
  <c r="K213" i="72" s="1"/>
  <c r="K243" i="72" s="1"/>
  <c r="W141" i="83"/>
  <c r="S228" i="83"/>
  <c r="S102" i="71" s="1"/>
  <c r="S207" i="71" s="1"/>
  <c r="K228" i="83"/>
  <c r="K102" i="71" s="1"/>
  <c r="K207" i="71" s="1"/>
  <c r="R199" i="83"/>
  <c r="R72" i="71" s="1"/>
  <c r="R177" i="71" s="1"/>
  <c r="V136" i="83"/>
  <c r="U168" i="83"/>
  <c r="U40" i="71" s="1"/>
  <c r="U145" i="71" s="1"/>
  <c r="J139" i="83"/>
  <c r="J141" i="72" s="1"/>
  <c r="J211" i="72" s="1"/>
  <c r="J241" i="72" s="1"/>
  <c r="T139" i="83"/>
  <c r="M168" i="83"/>
  <c r="M40" i="71" s="1"/>
  <c r="M145" i="71" s="1"/>
  <c r="K139" i="83"/>
  <c r="K141" i="72" s="1"/>
  <c r="K211" i="72" s="1"/>
  <c r="K241" i="72" s="1"/>
  <c r="V226" i="83"/>
  <c r="V100" i="71" s="1"/>
  <c r="V205" i="71" s="1"/>
  <c r="S197" i="83"/>
  <c r="S70" i="71" s="1"/>
  <c r="S175" i="71" s="1"/>
  <c r="T197" i="83"/>
  <c r="T70" i="71" s="1"/>
  <c r="T175" i="71" s="1"/>
  <c r="P228" i="83"/>
  <c r="P102" i="71" s="1"/>
  <c r="P207" i="71" s="1"/>
  <c r="W199" i="83"/>
  <c r="W72" i="71" s="1"/>
  <c r="W177" i="71" s="1"/>
  <c r="L199" i="83"/>
  <c r="L72" i="71" s="1"/>
  <c r="L177" i="71" s="1"/>
  <c r="Q199" i="83"/>
  <c r="Q72" i="71" s="1"/>
  <c r="Q177" i="71" s="1"/>
  <c r="S141" i="83"/>
  <c r="U228" i="83"/>
  <c r="U102" i="71" s="1"/>
  <c r="U207" i="71" s="1"/>
  <c r="V199" i="83"/>
  <c r="V72" i="71" s="1"/>
  <c r="V177" i="71" s="1"/>
  <c r="O170" i="83"/>
  <c r="O42" i="71" s="1"/>
  <c r="O147" i="71" s="1"/>
  <c r="J165" i="83"/>
  <c r="J37" i="71" s="1"/>
  <c r="J142" i="71" s="1"/>
  <c r="S168" i="83"/>
  <c r="S40" i="71" s="1"/>
  <c r="S145" i="71" s="1"/>
  <c r="T226" i="83"/>
  <c r="T100" i="71" s="1"/>
  <c r="T205" i="71" s="1"/>
  <c r="J226" i="83"/>
  <c r="J100" i="71" s="1"/>
  <c r="J205" i="71" s="1"/>
  <c r="O226" i="83"/>
  <c r="O100" i="71" s="1"/>
  <c r="O205" i="71" s="1"/>
  <c r="W139" i="83"/>
  <c r="L168" i="83"/>
  <c r="L40" i="71" s="1"/>
  <c r="L145" i="71" s="1"/>
  <c r="L197" i="83"/>
  <c r="L70" i="71" s="1"/>
  <c r="L175" i="71" s="1"/>
  <c r="R177" i="72"/>
  <c r="R212" i="72" s="1"/>
  <c r="R242" i="72" s="1"/>
  <c r="N176" i="73"/>
  <c r="N236" i="73" s="1"/>
  <c r="J146" i="73"/>
  <c r="J206" i="73" s="1"/>
  <c r="V181" i="72"/>
  <c r="V216" i="72" s="1"/>
  <c r="V246" i="72" s="1"/>
  <c r="X173" i="72"/>
  <c r="X208" i="72" s="1"/>
  <c r="X238" i="72" s="1"/>
  <c r="S231" i="83"/>
  <c r="S105" i="71" s="1"/>
  <c r="S210" i="71" s="1"/>
  <c r="U173" i="83"/>
  <c r="U45" i="71" s="1"/>
  <c r="U150" i="71" s="1"/>
  <c r="O173" i="83"/>
  <c r="O45" i="71" s="1"/>
  <c r="O150" i="71" s="1"/>
  <c r="Q231" i="83"/>
  <c r="Q105" i="71" s="1"/>
  <c r="Q210" i="71" s="1"/>
  <c r="N202" i="83"/>
  <c r="N75" i="71" s="1"/>
  <c r="N180" i="71" s="1"/>
  <c r="P173" i="83"/>
  <c r="P45" i="71" s="1"/>
  <c r="P150" i="71" s="1"/>
  <c r="P202" i="83"/>
  <c r="P75" i="71" s="1"/>
  <c r="P180" i="71" s="1"/>
  <c r="M231" i="83"/>
  <c r="M105" i="71" s="1"/>
  <c r="M210" i="71" s="1"/>
  <c r="P136" i="83"/>
  <c r="P138" i="72" s="1"/>
  <c r="P208" i="72" s="1"/>
  <c r="P238" i="72" s="1"/>
  <c r="T136" i="83"/>
  <c r="Q136" i="83"/>
  <c r="Q138" i="72" s="1"/>
  <c r="Q208" i="72" s="1"/>
  <c r="Q238" i="72" s="1"/>
  <c r="J223" i="83"/>
  <c r="J97" i="71" s="1"/>
  <c r="J202" i="71" s="1"/>
  <c r="O194" i="83"/>
  <c r="O67" i="71" s="1"/>
  <c r="O172" i="71" s="1"/>
  <c r="Q165" i="83"/>
  <c r="Q37" i="71" s="1"/>
  <c r="Q142" i="71" s="1"/>
  <c r="Q194" i="83"/>
  <c r="Q67" i="71" s="1"/>
  <c r="Q172" i="71" s="1"/>
  <c r="K136" i="83"/>
  <c r="K138" i="72" s="1"/>
  <c r="K208" i="72" s="1"/>
  <c r="K238" i="72" s="1"/>
  <c r="K165" i="83"/>
  <c r="K37" i="71" s="1"/>
  <c r="K142" i="71" s="1"/>
  <c r="U177" i="72"/>
  <c r="U212" i="72" s="1"/>
  <c r="U242" i="72" s="1"/>
  <c r="L146" i="73"/>
  <c r="L206" i="73" s="1"/>
  <c r="P176" i="73"/>
  <c r="P236" i="73" s="1"/>
  <c r="R181" i="72"/>
  <c r="R216" i="72" s="1"/>
  <c r="R246" i="72" s="1"/>
  <c r="T173" i="72"/>
  <c r="T208" i="72" s="1"/>
  <c r="T238" i="72" s="1"/>
  <c r="R144" i="83"/>
  <c r="T202" i="83"/>
  <c r="T75" i="71" s="1"/>
  <c r="T180" i="71" s="1"/>
  <c r="K144" i="83"/>
  <c r="K146" i="72" s="1"/>
  <c r="K216" i="72" s="1"/>
  <c r="K246" i="72" s="1"/>
  <c r="N231" i="83"/>
  <c r="N105" i="71" s="1"/>
  <c r="N210" i="71" s="1"/>
  <c r="U231" i="83"/>
  <c r="U105" i="71" s="1"/>
  <c r="U210" i="71" s="1"/>
  <c r="J202" i="83"/>
  <c r="J75" i="71" s="1"/>
  <c r="J180" i="71" s="1"/>
  <c r="W231" i="83"/>
  <c r="W105" i="71" s="1"/>
  <c r="W210" i="71" s="1"/>
  <c r="X202" i="83"/>
  <c r="X75" i="71" s="1"/>
  <c r="X180" i="71" s="1"/>
  <c r="T223" i="83"/>
  <c r="T97" i="71" s="1"/>
  <c r="T202" i="71" s="1"/>
  <c r="N223" i="83"/>
  <c r="N97" i="71" s="1"/>
  <c r="N202" i="71" s="1"/>
  <c r="Y223" i="83"/>
  <c r="Y97" i="71" s="1"/>
  <c r="Y202" i="71" s="1"/>
  <c r="O223" i="83"/>
  <c r="O97" i="71" s="1"/>
  <c r="O202" i="71" s="1"/>
  <c r="Y136" i="83"/>
  <c r="V194" i="83"/>
  <c r="V67" i="71" s="1"/>
  <c r="V172" i="71" s="1"/>
  <c r="Y165" i="83"/>
  <c r="Y37" i="71" s="1"/>
  <c r="Y142" i="71" s="1"/>
  <c r="R136" i="83"/>
  <c r="R165" i="83"/>
  <c r="R37" i="71" s="1"/>
  <c r="R142" i="71" s="1"/>
  <c r="T194" i="83"/>
  <c r="T67" i="71" s="1"/>
  <c r="T172" i="71" s="1"/>
  <c r="X165" i="83"/>
  <c r="X37" i="71" s="1"/>
  <c r="X142" i="71" s="1"/>
  <c r="S177" i="72"/>
  <c r="S212" i="72" s="1"/>
  <c r="S242" i="72" s="1"/>
  <c r="P146" i="73"/>
  <c r="P206" i="73" s="1"/>
  <c r="K146" i="73"/>
  <c r="K206" i="73" s="1"/>
  <c r="W181" i="72"/>
  <c r="W216" i="72" s="1"/>
  <c r="W246" i="72" s="1"/>
  <c r="Y173" i="72"/>
  <c r="Y208" i="72" s="1"/>
  <c r="Y238" i="72" s="1"/>
  <c r="V173" i="83"/>
  <c r="V45" i="71" s="1"/>
  <c r="V150" i="71" s="1"/>
  <c r="S202" i="83"/>
  <c r="S75" i="71" s="1"/>
  <c r="S180" i="71" s="1"/>
  <c r="R231" i="83"/>
  <c r="R105" i="71" s="1"/>
  <c r="R210" i="71" s="1"/>
  <c r="W173" i="83"/>
  <c r="W45" i="71" s="1"/>
  <c r="W150" i="71" s="1"/>
  <c r="Y202" i="83"/>
  <c r="Y75" i="71" s="1"/>
  <c r="Y180" i="71" s="1"/>
  <c r="R202" i="83"/>
  <c r="R75" i="71" s="1"/>
  <c r="R180" i="71" s="1"/>
  <c r="J144" i="83"/>
  <c r="J146" i="72" s="1"/>
  <c r="J216" i="72" s="1"/>
  <c r="J246" i="72" s="1"/>
  <c r="S173" i="83"/>
  <c r="S45" i="71" s="1"/>
  <c r="S150" i="71" s="1"/>
  <c r="U194" i="83"/>
  <c r="U67" i="71" s="1"/>
  <c r="U172" i="71" s="1"/>
  <c r="R223" i="83"/>
  <c r="R97" i="71" s="1"/>
  <c r="R202" i="71" s="1"/>
  <c r="M194" i="83"/>
  <c r="M67" i="71" s="1"/>
  <c r="M172" i="71" s="1"/>
  <c r="P223" i="83"/>
  <c r="P97" i="71" s="1"/>
  <c r="P202" i="71" s="1"/>
  <c r="X194" i="83"/>
  <c r="X67" i="71" s="1"/>
  <c r="X172" i="71" s="1"/>
  <c r="L194" i="83"/>
  <c r="L67" i="71" s="1"/>
  <c r="L172" i="71" s="1"/>
  <c r="M223" i="83"/>
  <c r="M97" i="71" s="1"/>
  <c r="M202" i="71" s="1"/>
  <c r="W194" i="83"/>
  <c r="W67" i="71" s="1"/>
  <c r="W172" i="71" s="1"/>
  <c r="N146" i="73"/>
  <c r="N276" i="73" s="1"/>
  <c r="N39" i="74" s="1"/>
  <c r="N84" i="74" s="1"/>
  <c r="K194" i="83"/>
  <c r="K67" i="71" s="1"/>
  <c r="K172" i="71" s="1"/>
  <c r="O136" i="83"/>
  <c r="O138" i="72" s="1"/>
  <c r="O208" i="72" s="1"/>
  <c r="O238" i="72" s="1"/>
  <c r="S223" i="83"/>
  <c r="S97" i="71" s="1"/>
  <c r="S202" i="71" s="1"/>
  <c r="Y177" i="72"/>
  <c r="Y212" i="72" s="1"/>
  <c r="Y242" i="72" s="1"/>
  <c r="Q146" i="73"/>
  <c r="Q206" i="73" s="1"/>
  <c r="J176" i="73"/>
  <c r="J236" i="73" s="1"/>
  <c r="Y181" i="72"/>
  <c r="Y216" i="72" s="1"/>
  <c r="Y246" i="72" s="1"/>
  <c r="V173" i="72"/>
  <c r="V208" i="72" s="1"/>
  <c r="V238" i="72" s="1"/>
  <c r="L231" i="83"/>
  <c r="L105" i="71" s="1"/>
  <c r="L210" i="71" s="1"/>
  <c r="Y173" i="83"/>
  <c r="Y45" i="71" s="1"/>
  <c r="Y150" i="71" s="1"/>
  <c r="S144" i="83"/>
  <c r="O202" i="83"/>
  <c r="O75" i="71" s="1"/>
  <c r="O180" i="71" s="1"/>
  <c r="X231" i="83"/>
  <c r="X105" i="71" s="1"/>
  <c r="X210" i="71" s="1"/>
  <c r="Q202" i="83"/>
  <c r="Q75" i="71" s="1"/>
  <c r="Q180" i="71" s="1"/>
  <c r="M144" i="83"/>
  <c r="M146" i="72" s="1"/>
  <c r="M216" i="72" s="1"/>
  <c r="M246" i="72" s="1"/>
  <c r="K202" i="83"/>
  <c r="K75" i="71" s="1"/>
  <c r="K180" i="71" s="1"/>
  <c r="L165" i="83"/>
  <c r="L37" i="71" s="1"/>
  <c r="L142" i="71" s="1"/>
  <c r="R194" i="83"/>
  <c r="R67" i="71" s="1"/>
  <c r="R172" i="71" s="1"/>
  <c r="V223" i="83"/>
  <c r="V97" i="71" s="1"/>
  <c r="V202" i="71" s="1"/>
  <c r="W165" i="83"/>
  <c r="W37" i="71" s="1"/>
  <c r="W142" i="71" s="1"/>
  <c r="O165" i="83"/>
  <c r="O37" i="71" s="1"/>
  <c r="O142" i="71" s="1"/>
  <c r="S136" i="83"/>
  <c r="Q223" i="83"/>
  <c r="Q97" i="71" s="1"/>
  <c r="Q202" i="71" s="1"/>
  <c r="X223" i="83"/>
  <c r="X97" i="71" s="1"/>
  <c r="X202" i="71" s="1"/>
  <c r="V177" i="72"/>
  <c r="V212" i="72" s="1"/>
  <c r="V242" i="72" s="1"/>
  <c r="K176" i="73"/>
  <c r="K236" i="73" s="1"/>
  <c r="M146" i="73"/>
  <c r="M276" i="73" s="1"/>
  <c r="M39" i="74" s="1"/>
  <c r="M84" i="74" s="1"/>
  <c r="X181" i="72"/>
  <c r="X216" i="72" s="1"/>
  <c r="X246" i="72" s="1"/>
  <c r="S173" i="72"/>
  <c r="S208" i="72" s="1"/>
  <c r="S238" i="72" s="1"/>
  <c r="K173" i="83"/>
  <c r="K45" i="71" s="1"/>
  <c r="K150" i="71" s="1"/>
  <c r="M202" i="83"/>
  <c r="M75" i="71" s="1"/>
  <c r="M180" i="71" s="1"/>
  <c r="V202" i="83"/>
  <c r="V75" i="71" s="1"/>
  <c r="V180" i="71" s="1"/>
  <c r="U144" i="83"/>
  <c r="Y144" i="83"/>
  <c r="M173" i="83"/>
  <c r="M45" i="71" s="1"/>
  <c r="M150" i="71" s="1"/>
  <c r="N144" i="83"/>
  <c r="N146" i="72" s="1"/>
  <c r="N216" i="72" s="1"/>
  <c r="N246" i="72" s="1"/>
  <c r="Y231" i="83"/>
  <c r="Y105" i="71" s="1"/>
  <c r="Y210" i="71" s="1"/>
  <c r="U223" i="83"/>
  <c r="U97" i="71" s="1"/>
  <c r="U202" i="71" s="1"/>
  <c r="Y194" i="83"/>
  <c r="Y67" i="71" s="1"/>
  <c r="Y172" i="71" s="1"/>
  <c r="J136" i="83"/>
  <c r="J138" i="72" s="1"/>
  <c r="J208" i="72" s="1"/>
  <c r="J238" i="72" s="1"/>
  <c r="M136" i="83"/>
  <c r="M138" i="72" s="1"/>
  <c r="M208" i="72" s="1"/>
  <c r="M238" i="72" s="1"/>
  <c r="L136" i="83"/>
  <c r="L138" i="72" s="1"/>
  <c r="L208" i="72" s="1"/>
  <c r="L238" i="72" s="1"/>
  <c r="L223" i="83"/>
  <c r="L97" i="71" s="1"/>
  <c r="L202" i="71" s="1"/>
  <c r="K223" i="83"/>
  <c r="K97" i="71" s="1"/>
  <c r="K202" i="71" s="1"/>
  <c r="S194" i="83"/>
  <c r="S67" i="71" s="1"/>
  <c r="S172" i="71" s="1"/>
  <c r="M176" i="73"/>
  <c r="M236" i="73" s="1"/>
  <c r="W136" i="83"/>
  <c r="Q176" i="73"/>
  <c r="Q236" i="73" s="1"/>
  <c r="L202" i="83"/>
  <c r="L75" i="71" s="1"/>
  <c r="L180" i="71" s="1"/>
  <c r="Q173" i="83"/>
  <c r="Q45" i="71" s="1"/>
  <c r="Q150" i="71" s="1"/>
  <c r="U202" i="83"/>
  <c r="U75" i="71" s="1"/>
  <c r="U180" i="71" s="1"/>
  <c r="T144" i="83"/>
  <c r="T173" i="83"/>
  <c r="T45" i="71" s="1"/>
  <c r="T150" i="71" s="1"/>
  <c r="X144" i="83"/>
  <c r="R173" i="83"/>
  <c r="R45" i="71" s="1"/>
  <c r="R150" i="71" s="1"/>
  <c r="P194" i="83"/>
  <c r="P67" i="71" s="1"/>
  <c r="P172" i="71" s="1"/>
  <c r="P165" i="83"/>
  <c r="P37" i="71" s="1"/>
  <c r="P142" i="71" s="1"/>
  <c r="N165" i="83"/>
  <c r="N37" i="71" s="1"/>
  <c r="N142" i="71" s="1"/>
  <c r="N136" i="83"/>
  <c r="N138" i="72" s="1"/>
  <c r="N208" i="72" s="1"/>
  <c r="N238" i="72" s="1"/>
  <c r="U136" i="83"/>
  <c r="J194" i="83"/>
  <c r="J67" i="71" s="1"/>
  <c r="J172" i="71" s="1"/>
  <c r="T165" i="83"/>
  <c r="T37" i="71" s="1"/>
  <c r="T142" i="71" s="1"/>
  <c r="X171" i="83"/>
  <c r="X43" i="71" s="1"/>
  <c r="X148" i="71" s="1"/>
  <c r="M200" i="83"/>
  <c r="M73" i="71" s="1"/>
  <c r="M178" i="71" s="1"/>
  <c r="Y171" i="83"/>
  <c r="Y43" i="71" s="1"/>
  <c r="Y148" i="71" s="1"/>
  <c r="N200" i="83"/>
  <c r="N73" i="71" s="1"/>
  <c r="N178" i="71" s="1"/>
  <c r="O229" i="83"/>
  <c r="O103" i="71" s="1"/>
  <c r="O208" i="71" s="1"/>
  <c r="V142" i="83"/>
  <c r="P171" i="83"/>
  <c r="P43" i="71" s="1"/>
  <c r="P148" i="71" s="1"/>
  <c r="V229" i="83"/>
  <c r="V103" i="71" s="1"/>
  <c r="V208" i="71" s="1"/>
  <c r="M229" i="83"/>
  <c r="M103" i="71" s="1"/>
  <c r="M208" i="71" s="1"/>
  <c r="K171" i="83"/>
  <c r="K43" i="71" s="1"/>
  <c r="K148" i="71" s="1"/>
  <c r="R174" i="72"/>
  <c r="R209" i="72" s="1"/>
  <c r="R239" i="72" s="1"/>
  <c r="R178" i="72"/>
  <c r="R213" i="72" s="1"/>
  <c r="R243" i="72" s="1"/>
  <c r="R179" i="72"/>
  <c r="R214" i="72" s="1"/>
  <c r="R244" i="72" s="1"/>
  <c r="W200" i="83"/>
  <c r="W73" i="71" s="1"/>
  <c r="W178" i="71" s="1"/>
  <c r="W142" i="83"/>
  <c r="T142" i="83"/>
  <c r="Y200" i="83"/>
  <c r="Y73" i="71" s="1"/>
  <c r="Y178" i="71" s="1"/>
  <c r="T178" i="72"/>
  <c r="T213" i="72" s="1"/>
  <c r="T243" i="72" s="1"/>
  <c r="U171" i="83"/>
  <c r="U43" i="71" s="1"/>
  <c r="U148" i="71" s="1"/>
  <c r="V171" i="83"/>
  <c r="V43" i="71" s="1"/>
  <c r="V148" i="71" s="1"/>
  <c r="P142" i="83"/>
  <c r="P144" i="72" s="1"/>
  <c r="P214" i="72" s="1"/>
  <c r="P244" i="72" s="1"/>
  <c r="M171" i="83"/>
  <c r="M43" i="71" s="1"/>
  <c r="M148" i="71" s="1"/>
  <c r="S142" i="83"/>
  <c r="S171" i="83"/>
  <c r="S43" i="71" s="1"/>
  <c r="S148" i="71" s="1"/>
  <c r="T200" i="83"/>
  <c r="T73" i="71" s="1"/>
  <c r="T178" i="71" s="1"/>
  <c r="X200" i="83"/>
  <c r="X73" i="71" s="1"/>
  <c r="X178" i="71" s="1"/>
  <c r="X174" i="72"/>
  <c r="X209" i="72" s="1"/>
  <c r="X239" i="72" s="1"/>
  <c r="W178" i="72"/>
  <c r="W213" i="72" s="1"/>
  <c r="W243" i="72" s="1"/>
  <c r="S179" i="72"/>
  <c r="S214" i="72" s="1"/>
  <c r="S244" i="72" s="1"/>
  <c r="L171" i="83"/>
  <c r="L43" i="71" s="1"/>
  <c r="L148" i="71" s="1"/>
  <c r="O142" i="83"/>
  <c r="O144" i="72" s="1"/>
  <c r="O214" i="72" s="1"/>
  <c r="O244" i="72" s="1"/>
  <c r="P200" i="83"/>
  <c r="P73" i="71" s="1"/>
  <c r="P178" i="71" s="1"/>
  <c r="U200" i="83"/>
  <c r="U73" i="71" s="1"/>
  <c r="U178" i="71" s="1"/>
  <c r="Q171" i="83"/>
  <c r="Q43" i="71" s="1"/>
  <c r="Q148" i="71" s="1"/>
  <c r="K142" i="83"/>
  <c r="K144" i="72" s="1"/>
  <c r="K214" i="72" s="1"/>
  <c r="K244" i="72" s="1"/>
  <c r="Q200" i="83"/>
  <c r="Q73" i="71" s="1"/>
  <c r="Q178" i="71" s="1"/>
  <c r="K229" i="83"/>
  <c r="K103" i="71" s="1"/>
  <c r="K208" i="71" s="1"/>
  <c r="L142" i="83"/>
  <c r="L144" i="72" s="1"/>
  <c r="L214" i="72" s="1"/>
  <c r="L244" i="72" s="1"/>
  <c r="R171" i="83"/>
  <c r="R43" i="71" s="1"/>
  <c r="R148" i="71" s="1"/>
  <c r="S174" i="72"/>
  <c r="S209" i="72" s="1"/>
  <c r="S239" i="72" s="1"/>
  <c r="S178" i="72"/>
  <c r="S213" i="72" s="1"/>
  <c r="S243" i="72" s="1"/>
  <c r="V179" i="72"/>
  <c r="V214" i="72" s="1"/>
  <c r="V244" i="72" s="1"/>
  <c r="Y178" i="72"/>
  <c r="Y213" i="72" s="1"/>
  <c r="Y243" i="72" s="1"/>
  <c r="N171" i="83"/>
  <c r="N43" i="71" s="1"/>
  <c r="N148" i="71" s="1"/>
  <c r="O200" i="83"/>
  <c r="O73" i="71" s="1"/>
  <c r="O178" i="71" s="1"/>
  <c r="V178" i="72"/>
  <c r="V213" i="72" s="1"/>
  <c r="V243" i="72" s="1"/>
  <c r="R200" i="83"/>
  <c r="R73" i="71" s="1"/>
  <c r="R178" i="71" s="1"/>
  <c r="Y142" i="83"/>
  <c r="X229" i="83"/>
  <c r="X103" i="71" s="1"/>
  <c r="X208" i="71" s="1"/>
  <c r="O171" i="83"/>
  <c r="O43" i="71" s="1"/>
  <c r="O148" i="71" s="1"/>
  <c r="J171" i="83"/>
  <c r="J43" i="71" s="1"/>
  <c r="J148" i="71" s="1"/>
  <c r="L200" i="83"/>
  <c r="L73" i="71" s="1"/>
  <c r="L178" i="71" s="1"/>
  <c r="S200" i="83"/>
  <c r="S73" i="71" s="1"/>
  <c r="S178" i="71" s="1"/>
  <c r="P229" i="83"/>
  <c r="P103" i="71" s="1"/>
  <c r="P208" i="71" s="1"/>
  <c r="R229" i="83"/>
  <c r="R103" i="71" s="1"/>
  <c r="R208" i="71" s="1"/>
  <c r="J200" i="83"/>
  <c r="J73" i="71" s="1"/>
  <c r="J178" i="71" s="1"/>
  <c r="U229" i="83"/>
  <c r="U103" i="71" s="1"/>
  <c r="U208" i="71" s="1"/>
  <c r="W229" i="83"/>
  <c r="W103" i="71" s="1"/>
  <c r="W208" i="71" s="1"/>
  <c r="T171" i="83"/>
  <c r="T43" i="71" s="1"/>
  <c r="T148" i="71" s="1"/>
  <c r="X180" i="72"/>
  <c r="X215" i="72" s="1"/>
  <c r="X245" i="72" s="1"/>
  <c r="R180" i="72"/>
  <c r="R215" i="72" s="1"/>
  <c r="R245" i="72" s="1"/>
  <c r="U180" i="72"/>
  <c r="U215" i="72" s="1"/>
  <c r="U245" i="72" s="1"/>
  <c r="S180" i="72"/>
  <c r="S215" i="72" s="1"/>
  <c r="S245" i="72" s="1"/>
  <c r="V180" i="72"/>
  <c r="V215" i="72" s="1"/>
  <c r="V245" i="72" s="1"/>
  <c r="P154" i="73"/>
  <c r="P214" i="73" s="1"/>
  <c r="W180" i="72"/>
  <c r="W215" i="72" s="1"/>
  <c r="W245" i="72" s="1"/>
  <c r="K154" i="73"/>
  <c r="K284" i="73" s="1"/>
  <c r="K47" i="74" s="1"/>
  <c r="K92" i="74" s="1"/>
  <c r="L184" i="73"/>
  <c r="L244" i="73" s="1"/>
  <c r="O184" i="73"/>
  <c r="O244" i="73" s="1"/>
  <c r="N154" i="73"/>
  <c r="N284" i="73" s="1"/>
  <c r="N47" i="74" s="1"/>
  <c r="N92" i="74" s="1"/>
  <c r="J184" i="73"/>
  <c r="J244" i="73" s="1"/>
  <c r="Q154" i="73"/>
  <c r="Q214" i="73" s="1"/>
  <c r="Q184" i="73"/>
  <c r="Q244" i="73" s="1"/>
  <c r="J52" i="55"/>
  <c r="O154" i="73"/>
  <c r="O284" i="73" s="1"/>
  <c r="O47" i="74" s="1"/>
  <c r="O92" i="74" s="1"/>
  <c r="N184" i="73"/>
  <c r="N244" i="73" s="1"/>
  <c r="K184" i="73"/>
  <c r="K244" i="73" s="1"/>
  <c r="J154" i="73"/>
  <c r="J284" i="73" s="1"/>
  <c r="J47" i="74" s="1"/>
  <c r="J92" i="74" s="1"/>
  <c r="L154" i="73"/>
  <c r="L284" i="73" s="1"/>
  <c r="L47" i="74" s="1"/>
  <c r="L92" i="74" s="1"/>
  <c r="P184" i="73"/>
  <c r="P244" i="73" s="1"/>
  <c r="M184" i="73"/>
  <c r="M244" i="73" s="1"/>
  <c r="Q210" i="73"/>
  <c r="Q280" i="73"/>
  <c r="Q43" i="74" s="1"/>
  <c r="Q88" i="74" s="1"/>
  <c r="Q281" i="73"/>
  <c r="Q44" i="74" s="1"/>
  <c r="Q89" i="74" s="1"/>
  <c r="Q211" i="73"/>
  <c r="L279" i="73"/>
  <c r="L42" i="74" s="1"/>
  <c r="L87" i="74" s="1"/>
  <c r="L209" i="73"/>
  <c r="N208" i="73"/>
  <c r="N278" i="73"/>
  <c r="N41" i="74" s="1"/>
  <c r="N86" i="74" s="1"/>
  <c r="L211" i="73"/>
  <c r="P36" i="71"/>
  <c r="P141" i="71" s="1"/>
  <c r="K36" i="71"/>
  <c r="K141" i="71" s="1"/>
  <c r="K215" i="73"/>
  <c r="K285" i="73"/>
  <c r="K48" i="74" s="1"/>
  <c r="K93" i="74" s="1"/>
  <c r="O281" i="73"/>
  <c r="O44" i="74" s="1"/>
  <c r="O89" i="74" s="1"/>
  <c r="J36" i="71"/>
  <c r="T36" i="71"/>
  <c r="T141" i="71" s="1"/>
  <c r="Q215" i="73"/>
  <c r="Q285" i="73"/>
  <c r="Q48" i="74" s="1"/>
  <c r="Q93" i="74" s="1"/>
  <c r="J280" i="73"/>
  <c r="J43" i="74" s="1"/>
  <c r="J88" i="74" s="1"/>
  <c r="J210" i="73"/>
  <c r="Q209" i="73"/>
  <c r="Q279" i="73"/>
  <c r="Q42" i="74" s="1"/>
  <c r="Q87" i="74" s="1"/>
  <c r="P279" i="73"/>
  <c r="P42" i="74" s="1"/>
  <c r="P87" i="74" s="1"/>
  <c r="P209" i="73"/>
  <c r="N281" i="73"/>
  <c r="N44" i="74" s="1"/>
  <c r="N89" i="74" s="1"/>
  <c r="N211" i="73"/>
  <c r="M279" i="73"/>
  <c r="M42" i="74" s="1"/>
  <c r="M87" i="74" s="1"/>
  <c r="M209" i="73"/>
  <c r="R36" i="71"/>
  <c r="R141" i="71" s="1"/>
  <c r="L285" i="73"/>
  <c r="L48" i="74" s="1"/>
  <c r="L93" i="74" s="1"/>
  <c r="L215" i="73"/>
  <c r="J208" i="73"/>
  <c r="J278" i="73"/>
  <c r="J41" i="74" s="1"/>
  <c r="J86" i="74" s="1"/>
  <c r="J209" i="73"/>
  <c r="J279" i="73"/>
  <c r="J42" i="74" s="1"/>
  <c r="J87" i="74" s="1"/>
  <c r="U36" i="71"/>
  <c r="U141" i="71" s="1"/>
  <c r="N36" i="71"/>
  <c r="N141" i="71" s="1"/>
  <c r="M215" i="73"/>
  <c r="M285" i="73"/>
  <c r="M48" i="74" s="1"/>
  <c r="M93" i="74" s="1"/>
  <c r="M284" i="73"/>
  <c r="M47" i="74" s="1"/>
  <c r="M92" i="74" s="1"/>
  <c r="M214" i="73"/>
  <c r="P208" i="73"/>
  <c r="K282" i="73"/>
  <c r="K45" i="74" s="1"/>
  <c r="K90" i="74" s="1"/>
  <c r="K212" i="73"/>
  <c r="X36" i="71"/>
  <c r="X141" i="71" s="1"/>
  <c r="Q36" i="71"/>
  <c r="Q141" i="71" s="1"/>
  <c r="P285" i="73"/>
  <c r="P48" i="74" s="1"/>
  <c r="P93" i="74" s="1"/>
  <c r="P215" i="73"/>
  <c r="J215" i="73"/>
  <c r="J285" i="73"/>
  <c r="J48" i="74" s="1"/>
  <c r="J93" i="74" s="1"/>
  <c r="K279" i="73"/>
  <c r="K42" i="74" s="1"/>
  <c r="K87" i="74" s="1"/>
  <c r="K209" i="73"/>
  <c r="S36" i="71"/>
  <c r="S141" i="71" s="1"/>
  <c r="Y36" i="71"/>
  <c r="Y141" i="71" s="1"/>
  <c r="O209" i="73"/>
  <c r="O279" i="73"/>
  <c r="O42" i="74" s="1"/>
  <c r="O87" i="74" s="1"/>
  <c r="N279" i="73"/>
  <c r="N42" i="74" s="1"/>
  <c r="N87" i="74" s="1"/>
  <c r="N209" i="73"/>
  <c r="V36" i="71"/>
  <c r="V141" i="71" s="1"/>
  <c r="O215" i="73"/>
  <c r="O285" i="73"/>
  <c r="O48" i="74" s="1"/>
  <c r="O93" i="74" s="1"/>
  <c r="P282" i="73"/>
  <c r="P45" i="74" s="1"/>
  <c r="P90" i="74" s="1"/>
  <c r="P212" i="73"/>
  <c r="W36" i="71"/>
  <c r="W141" i="71" s="1"/>
  <c r="O36" i="71"/>
  <c r="O141" i="71" s="1"/>
  <c r="M36" i="71"/>
  <c r="M141" i="71" s="1"/>
  <c r="L36" i="71"/>
  <c r="L141" i="71" s="1"/>
  <c r="N285" i="73"/>
  <c r="N48" i="74" s="1"/>
  <c r="N93" i="74" s="1"/>
  <c r="N215" i="73"/>
  <c r="L207" i="73" l="1"/>
  <c r="Q213" i="73"/>
  <c r="O208" i="73"/>
  <c r="L212" i="73"/>
  <c r="N206" i="73"/>
  <c r="L278" i="73"/>
  <c r="L41" i="74" s="1"/>
  <c r="L86" i="74" s="1"/>
  <c r="J213" i="73"/>
  <c r="J281" i="73"/>
  <c r="J44" i="74" s="1"/>
  <c r="J89" i="74" s="1"/>
  <c r="L119" i="74" s="1"/>
  <c r="L151" i="74" s="1"/>
  <c r="N212" i="73"/>
  <c r="Q208" i="73"/>
  <c r="M208" i="73"/>
  <c r="N277" i="73"/>
  <c r="N40" i="74" s="1"/>
  <c r="N85" i="74" s="1"/>
  <c r="Q207" i="73"/>
  <c r="N210" i="73"/>
  <c r="O207" i="73"/>
  <c r="K211" i="73"/>
  <c r="K208" i="73"/>
  <c r="K283" i="73"/>
  <c r="K46" i="74" s="1"/>
  <c r="K91" i="74" s="1"/>
  <c r="L283" i="73"/>
  <c r="L46" i="74" s="1"/>
  <c r="L91" i="74" s="1"/>
  <c r="J282" i="73"/>
  <c r="J45" i="74" s="1"/>
  <c r="J90" i="74" s="1"/>
  <c r="J120" i="74" s="1"/>
  <c r="J152" i="74" s="1"/>
  <c r="O212" i="73"/>
  <c r="P283" i="73"/>
  <c r="P46" i="74" s="1"/>
  <c r="P91" i="74" s="1"/>
  <c r="N213" i="73"/>
  <c r="P281" i="73"/>
  <c r="P44" i="74" s="1"/>
  <c r="P89" i="74" s="1"/>
  <c r="U119" i="74" s="1"/>
  <c r="U151" i="74" s="1"/>
  <c r="M211" i="73"/>
  <c r="Q282" i="73"/>
  <c r="Q45" i="74" s="1"/>
  <c r="Q90" i="74" s="1"/>
  <c r="R120" i="74" s="1"/>
  <c r="R152" i="74" s="1"/>
  <c r="L210" i="73"/>
  <c r="M213" i="73"/>
  <c r="K210" i="73"/>
  <c r="K218" i="71"/>
  <c r="K21" i="41" s="1"/>
  <c r="K41" i="41" s="1"/>
  <c r="K21" i="65" s="1"/>
  <c r="J219" i="71"/>
  <c r="J22" i="41" s="1"/>
  <c r="J42" i="41" s="1"/>
  <c r="J78" i="41" s="1"/>
  <c r="O213" i="73"/>
  <c r="O210" i="73"/>
  <c r="M212" i="73"/>
  <c r="P210" i="73"/>
  <c r="J207" i="73"/>
  <c r="M280" i="73"/>
  <c r="M43" i="74" s="1"/>
  <c r="M88" i="74" s="1"/>
  <c r="X118" i="74" s="1"/>
  <c r="X150" i="74" s="1"/>
  <c r="P207" i="73"/>
  <c r="J276" i="73"/>
  <c r="J39" i="74" s="1"/>
  <c r="J84" i="74" s="1"/>
  <c r="T250" i="72"/>
  <c r="T26" i="41" s="1"/>
  <c r="AJ46" i="41" s="1"/>
  <c r="AJ26" i="65" s="1"/>
  <c r="AJ116" i="65" s="1"/>
  <c r="V218" i="71"/>
  <c r="V21" i="41" s="1"/>
  <c r="AL41" i="41" s="1"/>
  <c r="AL77" i="41" s="1"/>
  <c r="P218" i="71"/>
  <c r="P21" i="41" s="1"/>
  <c r="AC41" i="41" s="1"/>
  <c r="O276" i="73"/>
  <c r="O39" i="74" s="1"/>
  <c r="O84" i="74" s="1"/>
  <c r="Q219" i="71"/>
  <c r="Q22" i="41" s="1"/>
  <c r="AG42" i="41" s="1"/>
  <c r="AG78" i="41" s="1"/>
  <c r="M250" i="72"/>
  <c r="M26" i="41" s="1"/>
  <c r="Q46" i="41" s="1"/>
  <c r="Q82" i="41" s="1"/>
  <c r="T219" i="71"/>
  <c r="T22" i="41" s="1"/>
  <c r="AJ42" i="41" s="1"/>
  <c r="AJ78" i="41" s="1"/>
  <c r="O257" i="73"/>
  <c r="O25" i="41" s="1"/>
  <c r="X45" i="41" s="1"/>
  <c r="Q257" i="73"/>
  <c r="Q25" i="41" s="1"/>
  <c r="AG45" i="41" s="1"/>
  <c r="AG81" i="41" s="1"/>
  <c r="K276" i="73"/>
  <c r="K39" i="74" s="1"/>
  <c r="K84" i="74" s="1"/>
  <c r="M277" i="73"/>
  <c r="M40" i="74" s="1"/>
  <c r="M85" i="74" s="1"/>
  <c r="T115" i="74" s="1"/>
  <c r="T147" i="74" s="1"/>
  <c r="L257" i="73"/>
  <c r="L25" i="41" s="1"/>
  <c r="L45" i="41" s="1"/>
  <c r="L81" i="41" s="1"/>
  <c r="R217" i="71"/>
  <c r="R20" i="41" s="1"/>
  <c r="AH40" i="41" s="1"/>
  <c r="AH76" i="41" s="1"/>
  <c r="J218" i="71"/>
  <c r="J21" i="41" s="1"/>
  <c r="J41" i="41" s="1"/>
  <c r="J21" i="65" s="1"/>
  <c r="M257" i="73"/>
  <c r="M25" i="41" s="1"/>
  <c r="Q45" i="41" s="1"/>
  <c r="Q25" i="65" s="1"/>
  <c r="Q115" i="65" s="1"/>
  <c r="M219" i="71"/>
  <c r="M22" i="41" s="1"/>
  <c r="Q42" i="41" s="1"/>
  <c r="Q22" i="65" s="1"/>
  <c r="N218" i="71"/>
  <c r="N21" i="41" s="1"/>
  <c r="S41" i="41" s="1"/>
  <c r="T218" i="71"/>
  <c r="T21" i="41" s="1"/>
  <c r="AJ41" i="41" s="1"/>
  <c r="AJ21" i="65" s="1"/>
  <c r="P284" i="73"/>
  <c r="P47" i="74" s="1"/>
  <c r="P92" i="74" s="1"/>
  <c r="Q276" i="73"/>
  <c r="Q39" i="74" s="1"/>
  <c r="Q84" i="74" s="1"/>
  <c r="P257" i="73"/>
  <c r="P25" i="41" s="1"/>
  <c r="AC45" i="41" s="1"/>
  <c r="W218" i="71"/>
  <c r="W21" i="41" s="1"/>
  <c r="AM41" i="41" s="1"/>
  <c r="AM77" i="41" s="1"/>
  <c r="P217" i="71"/>
  <c r="P20" i="41" s="1"/>
  <c r="AE40" i="41" s="1"/>
  <c r="J257" i="73"/>
  <c r="J25" i="41" s="1"/>
  <c r="J45" i="41" s="1"/>
  <c r="J81" i="41" s="1"/>
  <c r="N250" i="72"/>
  <c r="N26" i="41" s="1"/>
  <c r="U46" i="41" s="1"/>
  <c r="L219" i="71"/>
  <c r="L22" i="41" s="1"/>
  <c r="M42" i="41" s="1"/>
  <c r="M78" i="41" s="1"/>
  <c r="N219" i="71"/>
  <c r="N22" i="41" s="1"/>
  <c r="V42" i="41" s="1"/>
  <c r="L218" i="71"/>
  <c r="L21" i="41" s="1"/>
  <c r="N41" i="41" s="1"/>
  <c r="Q218" i="71"/>
  <c r="Q21" i="41" s="1"/>
  <c r="AG41" i="41" s="1"/>
  <c r="AG77" i="41" s="1"/>
  <c r="K207" i="73"/>
  <c r="N257" i="73"/>
  <c r="N25" i="41" s="1"/>
  <c r="T45" i="41" s="1"/>
  <c r="O219" i="71"/>
  <c r="O22" i="41" s="1"/>
  <c r="Y42" i="41" s="1"/>
  <c r="Y78" i="41" s="1"/>
  <c r="S218" i="71"/>
  <c r="S21" i="41" s="1"/>
  <c r="AI41" i="41" s="1"/>
  <c r="AI21" i="65" s="1"/>
  <c r="X219" i="71"/>
  <c r="X22" i="41" s="1"/>
  <c r="AN42" i="41" s="1"/>
  <c r="AN78" i="41" s="1"/>
  <c r="U218" i="71"/>
  <c r="U21" i="41" s="1"/>
  <c r="AK41" i="41" s="1"/>
  <c r="AK21" i="65" s="1"/>
  <c r="J250" i="72"/>
  <c r="J26" i="41" s="1"/>
  <c r="J46" i="41" s="1"/>
  <c r="J82" i="41" s="1"/>
  <c r="K257" i="73"/>
  <c r="K25" i="41" s="1"/>
  <c r="K45" i="41" s="1"/>
  <c r="K81" i="41" s="1"/>
  <c r="O250" i="72"/>
  <c r="O26" i="41" s="1"/>
  <c r="Y46" i="41" s="1"/>
  <c r="Y219" i="71"/>
  <c r="Y22" i="41" s="1"/>
  <c r="AO42" i="41" s="1"/>
  <c r="AO22" i="65" s="1"/>
  <c r="P250" i="72"/>
  <c r="P26" i="41" s="1"/>
  <c r="AC46" i="41" s="1"/>
  <c r="W219" i="71"/>
  <c r="W22" i="41" s="1"/>
  <c r="AM42" i="41" s="1"/>
  <c r="AM78" i="41" s="1"/>
  <c r="U217" i="71"/>
  <c r="U20" i="41" s="1"/>
  <c r="AK40" i="41" s="1"/>
  <c r="AK76" i="41" s="1"/>
  <c r="T217" i="71"/>
  <c r="T20" i="41" s="1"/>
  <c r="AJ40" i="41" s="1"/>
  <c r="AJ20" i="65" s="1"/>
  <c r="W239" i="83"/>
  <c r="U250" i="72"/>
  <c r="U26" i="41" s="1"/>
  <c r="AK46" i="41" s="1"/>
  <c r="AK82" i="41" s="1"/>
  <c r="R250" i="72"/>
  <c r="R26" i="41" s="1"/>
  <c r="AH46" i="41" s="1"/>
  <c r="AH82" i="41" s="1"/>
  <c r="Q239" i="83"/>
  <c r="P219" i="71"/>
  <c r="P22" i="41" s="1"/>
  <c r="AB42" i="41" s="1"/>
  <c r="L250" i="72"/>
  <c r="L26" i="41" s="1"/>
  <c r="N46" i="41" s="1"/>
  <c r="K219" i="71"/>
  <c r="K22" i="41" s="1"/>
  <c r="K42" i="41" s="1"/>
  <c r="K78" i="41" s="1"/>
  <c r="X250" i="72"/>
  <c r="X26" i="41" s="1"/>
  <c r="AN46" i="41" s="1"/>
  <c r="AN26" i="65" s="1"/>
  <c r="AN116" i="65" s="1"/>
  <c r="AL44" i="82" s="1"/>
  <c r="O218" i="71"/>
  <c r="O21" i="41" s="1"/>
  <c r="Z41" i="41" s="1"/>
  <c r="Z77" i="41" s="1"/>
  <c r="Y250" i="72"/>
  <c r="Y26" i="41" s="1"/>
  <c r="AO46" i="41" s="1"/>
  <c r="AO82" i="41" s="1"/>
  <c r="X218" i="71"/>
  <c r="X21" i="41" s="1"/>
  <c r="AN41" i="41" s="1"/>
  <c r="AN77" i="41" s="1"/>
  <c r="Y218" i="71"/>
  <c r="Y21" i="41" s="1"/>
  <c r="AO41" i="41" s="1"/>
  <c r="AO21" i="65" s="1"/>
  <c r="Q250" i="72"/>
  <c r="Q26" i="41" s="1"/>
  <c r="AG46" i="41" s="1"/>
  <c r="AG82" i="41" s="1"/>
  <c r="M206" i="73"/>
  <c r="M218" i="71"/>
  <c r="M21" i="41" s="1"/>
  <c r="Q41" i="41" s="1"/>
  <c r="Q77" i="41" s="1"/>
  <c r="X239" i="83"/>
  <c r="R218" i="71"/>
  <c r="R21" i="41" s="1"/>
  <c r="AH41" i="41" s="1"/>
  <c r="AH21" i="65" s="1"/>
  <c r="K217" i="71"/>
  <c r="K20" i="41" s="1"/>
  <c r="K40" i="41" s="1"/>
  <c r="K76" i="41" s="1"/>
  <c r="H237" i="83" a="1"/>
  <c r="H237" i="83" s="1"/>
  <c r="L214" i="73"/>
  <c r="L239" i="83"/>
  <c r="N217" i="71"/>
  <c r="N20" i="41" s="1"/>
  <c r="V40" i="41" s="1"/>
  <c r="T239" i="83"/>
  <c r="V219" i="71"/>
  <c r="V22" i="41" s="1"/>
  <c r="AL42" i="41" s="1"/>
  <c r="AL22" i="65" s="1"/>
  <c r="V250" i="72"/>
  <c r="V26" i="41" s="1"/>
  <c r="AL46" i="41" s="1"/>
  <c r="AL26" i="65" s="1"/>
  <c r="AL116" i="65" s="1"/>
  <c r="U219" i="71"/>
  <c r="U22" i="41" s="1"/>
  <c r="AK42" i="41" s="1"/>
  <c r="AK22" i="65" s="1"/>
  <c r="R219" i="71"/>
  <c r="R22" i="41" s="1"/>
  <c r="AH42" i="41" s="1"/>
  <c r="AH22" i="65" s="1"/>
  <c r="K250" i="72"/>
  <c r="K26" i="41" s="1"/>
  <c r="K46" i="41" s="1"/>
  <c r="K82" i="41" s="1"/>
  <c r="S219" i="71"/>
  <c r="S22" i="41" s="1"/>
  <c r="AI42" i="41" s="1"/>
  <c r="AI22" i="65" s="1"/>
  <c r="N214" i="73"/>
  <c r="L217" i="71"/>
  <c r="L20" i="41" s="1"/>
  <c r="L40" i="41" s="1"/>
  <c r="Q217" i="71"/>
  <c r="Q20" i="41" s="1"/>
  <c r="AG40" i="41" s="1"/>
  <c r="AG20" i="65" s="1"/>
  <c r="N239" i="83"/>
  <c r="Q284" i="73"/>
  <c r="Q47" i="74" s="1"/>
  <c r="Q92" i="74" s="1"/>
  <c r="W122" i="74" s="1"/>
  <c r="W154" i="74" s="1"/>
  <c r="K239" i="83"/>
  <c r="X217" i="71"/>
  <c r="X20" i="41" s="1"/>
  <c r="AN40" i="41" s="1"/>
  <c r="AN20" i="65" s="1"/>
  <c r="U239" i="83"/>
  <c r="M217" i="71"/>
  <c r="M20" i="41" s="1"/>
  <c r="Q40" i="41" s="1"/>
  <c r="Q20" i="65" s="1"/>
  <c r="P276" i="73"/>
  <c r="P39" i="74" s="1"/>
  <c r="P84" i="74" s="1"/>
  <c r="L276" i="73"/>
  <c r="L39" i="74" s="1"/>
  <c r="L84" i="74" s="1"/>
  <c r="O239" i="83"/>
  <c r="R239" i="83"/>
  <c r="O217" i="71"/>
  <c r="O20" i="41" s="1"/>
  <c r="X40" i="41" s="1"/>
  <c r="W250" i="72"/>
  <c r="W26" i="41" s="1"/>
  <c r="AM46" i="41" s="1"/>
  <c r="AM26" i="65" s="1"/>
  <c r="AM116" i="65" s="1"/>
  <c r="AM127" i="65" s="1"/>
  <c r="AM156" i="65" s="1"/>
  <c r="AM61" i="105" s="1"/>
  <c r="AM101" i="105" s="1"/>
  <c r="S250" i="72"/>
  <c r="S26" i="41" s="1"/>
  <c r="AI46" i="41" s="1"/>
  <c r="AI82" i="41" s="1"/>
  <c r="M239" i="83"/>
  <c r="V217" i="71"/>
  <c r="V20" i="41" s="1"/>
  <c r="AL40" i="41" s="1"/>
  <c r="AL76" i="41" s="1"/>
  <c r="Y239" i="83"/>
  <c r="W217" i="71"/>
  <c r="W20" i="41" s="1"/>
  <c r="AM40" i="41" s="1"/>
  <c r="AM76" i="41" s="1"/>
  <c r="Y217" i="71"/>
  <c r="Y20" i="41" s="1"/>
  <c r="AO40" i="41" s="1"/>
  <c r="AO20" i="65" s="1"/>
  <c r="J239" i="83"/>
  <c r="V239" i="83"/>
  <c r="S239" i="83"/>
  <c r="P239" i="83"/>
  <c r="S217" i="71"/>
  <c r="S20" i="41" s="1"/>
  <c r="AI40" i="41" s="1"/>
  <c r="AI20" i="65" s="1"/>
  <c r="K214" i="73"/>
  <c r="J214" i="73"/>
  <c r="O214" i="73"/>
  <c r="Q256" i="73"/>
  <c r="Q24" i="41" s="1"/>
  <c r="AG44" i="41" s="1"/>
  <c r="O120" i="74"/>
  <c r="O152" i="74" s="1"/>
  <c r="P120" i="74"/>
  <c r="P152" i="74" s="1"/>
  <c r="U120" i="74"/>
  <c r="U152" i="74" s="1"/>
  <c r="K120" i="74"/>
  <c r="K152" i="74" s="1"/>
  <c r="S120" i="74"/>
  <c r="S152" i="74" s="1"/>
  <c r="Y120" i="74"/>
  <c r="Y152" i="74" s="1"/>
  <c r="L123" i="74"/>
  <c r="L155" i="74" s="1"/>
  <c r="J123" i="74"/>
  <c r="J155" i="74" s="1"/>
  <c r="J141" i="71"/>
  <c r="J217" i="71" s="1"/>
  <c r="J20" i="41" s="1"/>
  <c r="J40" i="41" s="1"/>
  <c r="L116" i="74"/>
  <c r="L148" i="74" s="1"/>
  <c r="J116" i="74"/>
  <c r="J148" i="74" s="1"/>
  <c r="L118" i="74"/>
  <c r="L150" i="74" s="1"/>
  <c r="J118" i="74"/>
  <c r="J150" i="74" s="1"/>
  <c r="Q116" i="74"/>
  <c r="Q148" i="74" s="1"/>
  <c r="U116" i="74"/>
  <c r="U148" i="74" s="1"/>
  <c r="O116" i="74"/>
  <c r="O148" i="74" s="1"/>
  <c r="X116" i="74"/>
  <c r="X148" i="74" s="1"/>
  <c r="M116" i="74"/>
  <c r="M148" i="74" s="1"/>
  <c r="T116" i="74"/>
  <c r="T148" i="74" s="1"/>
  <c r="W116" i="74"/>
  <c r="W148" i="74" s="1"/>
  <c r="N116" i="74"/>
  <c r="N148" i="74" s="1"/>
  <c r="R116" i="74"/>
  <c r="R148" i="74" s="1"/>
  <c r="K116" i="74"/>
  <c r="K148" i="74" s="1"/>
  <c r="P116" i="74"/>
  <c r="P148" i="74" s="1"/>
  <c r="S116" i="74"/>
  <c r="S148" i="74" s="1"/>
  <c r="Y116" i="74"/>
  <c r="Y148" i="74" s="1"/>
  <c r="V116" i="74"/>
  <c r="V148" i="74" s="1"/>
  <c r="J121" i="74"/>
  <c r="J153" i="74" s="1"/>
  <c r="L121" i="74"/>
  <c r="L153" i="74" s="1"/>
  <c r="J22" i="65"/>
  <c r="J122" i="74"/>
  <c r="J154" i="74" s="1"/>
  <c r="L122" i="74"/>
  <c r="L154" i="74" s="1"/>
  <c r="L120" i="74"/>
  <c r="L152" i="74" s="1"/>
  <c r="J117" i="74"/>
  <c r="J149" i="74" s="1"/>
  <c r="L117" i="74"/>
  <c r="L149" i="74" s="1"/>
  <c r="Y123" i="74"/>
  <c r="Y155" i="74" s="1"/>
  <c r="M123" i="74"/>
  <c r="M155" i="74" s="1"/>
  <c r="U123" i="74"/>
  <c r="U155" i="74" s="1"/>
  <c r="O123" i="74"/>
  <c r="O155" i="74" s="1"/>
  <c r="X123" i="74"/>
  <c r="X155" i="74" s="1"/>
  <c r="S123" i="74"/>
  <c r="S155" i="74" s="1"/>
  <c r="N123" i="74"/>
  <c r="N155" i="74" s="1"/>
  <c r="Q123" i="74"/>
  <c r="Q155" i="74" s="1"/>
  <c r="T123" i="74"/>
  <c r="T155" i="74" s="1"/>
  <c r="V123" i="74"/>
  <c r="V155" i="74" s="1"/>
  <c r="P123" i="74"/>
  <c r="P155" i="74" s="1"/>
  <c r="R123" i="74"/>
  <c r="R155" i="74" s="1"/>
  <c r="W123" i="74"/>
  <c r="W155" i="74" s="1"/>
  <c r="K123" i="74"/>
  <c r="K155" i="74" s="1"/>
  <c r="J115" i="74"/>
  <c r="J147" i="74" s="1"/>
  <c r="L115" i="74"/>
  <c r="L147" i="74" s="1"/>
  <c r="M117" i="74"/>
  <c r="M149" i="74" s="1"/>
  <c r="S117" i="74"/>
  <c r="S149" i="74" s="1"/>
  <c r="Y117" i="74"/>
  <c r="Y149" i="74" s="1"/>
  <c r="N117" i="74"/>
  <c r="N149" i="74" s="1"/>
  <c r="T117" i="74"/>
  <c r="T149" i="74" s="1"/>
  <c r="V117" i="74"/>
  <c r="V149" i="74" s="1"/>
  <c r="U117" i="74"/>
  <c r="U149" i="74" s="1"/>
  <c r="R117" i="74"/>
  <c r="R149" i="74" s="1"/>
  <c r="P117" i="74"/>
  <c r="P149" i="74" s="1"/>
  <c r="O117" i="74"/>
  <c r="O149" i="74" s="1"/>
  <c r="X117" i="74"/>
  <c r="X149" i="74" s="1"/>
  <c r="W117" i="74"/>
  <c r="W149" i="74" s="1"/>
  <c r="Q117" i="74"/>
  <c r="Q149" i="74" s="1"/>
  <c r="K117" i="74"/>
  <c r="K149" i="74" s="1"/>
  <c r="U121" i="74"/>
  <c r="U153" i="74" s="1"/>
  <c r="H254" i="72" a="1"/>
  <c r="H254" i="72" s="1"/>
  <c r="AD45" i="41"/>
  <c r="Y115" i="74"/>
  <c r="Y147" i="74" s="1"/>
  <c r="J119" i="74" l="1"/>
  <c r="J151" i="74" s="1"/>
  <c r="W119" i="74"/>
  <c r="W151" i="74" s="1"/>
  <c r="Y119" i="74"/>
  <c r="Y151" i="74" s="1"/>
  <c r="T121" i="74"/>
  <c r="T153" i="74" s="1"/>
  <c r="N119" i="74"/>
  <c r="N151" i="74" s="1"/>
  <c r="R119" i="74"/>
  <c r="R151" i="74" s="1"/>
  <c r="V119" i="74"/>
  <c r="V151" i="74" s="1"/>
  <c r="P119" i="74"/>
  <c r="P151" i="74" s="1"/>
  <c r="X119" i="74"/>
  <c r="X151" i="74" s="1"/>
  <c r="T119" i="74"/>
  <c r="T151" i="74" s="1"/>
  <c r="M119" i="74"/>
  <c r="M151" i="74" s="1"/>
  <c r="O119" i="74"/>
  <c r="O151" i="74" s="1"/>
  <c r="S119" i="74"/>
  <c r="S151" i="74" s="1"/>
  <c r="Q119" i="74"/>
  <c r="Q151" i="74" s="1"/>
  <c r="K119" i="74"/>
  <c r="K151" i="74" s="1"/>
  <c r="W115" i="74"/>
  <c r="W147" i="74" s="1"/>
  <c r="M120" i="74"/>
  <c r="M152" i="74" s="1"/>
  <c r="W120" i="74"/>
  <c r="W152" i="74" s="1"/>
  <c r="AK78" i="41"/>
  <c r="Q120" i="74"/>
  <c r="Q152" i="74" s="1"/>
  <c r="R121" i="74"/>
  <c r="R153" i="74" s="1"/>
  <c r="V120" i="74"/>
  <c r="V152" i="74" s="1"/>
  <c r="S121" i="74"/>
  <c r="S153" i="74" s="1"/>
  <c r="X120" i="74"/>
  <c r="X152" i="74" s="1"/>
  <c r="N120" i="74"/>
  <c r="N152" i="74" s="1"/>
  <c r="T120" i="74"/>
  <c r="T152" i="74" s="1"/>
  <c r="Y121" i="74"/>
  <c r="Y153" i="74" s="1"/>
  <c r="N121" i="74"/>
  <c r="N153" i="74" s="1"/>
  <c r="X121" i="74"/>
  <c r="X153" i="74" s="1"/>
  <c r="O121" i="74"/>
  <c r="O153" i="74" s="1"/>
  <c r="P121" i="74"/>
  <c r="P153" i="74" s="1"/>
  <c r="V121" i="74"/>
  <c r="V153" i="74" s="1"/>
  <c r="W121" i="74"/>
  <c r="W153" i="74" s="1"/>
  <c r="M121" i="74"/>
  <c r="M153" i="74" s="1"/>
  <c r="Q121" i="74"/>
  <c r="Q153" i="74" s="1"/>
  <c r="K121" i="74"/>
  <c r="K153" i="74" s="1"/>
  <c r="N256" i="73"/>
  <c r="N24" i="41" s="1"/>
  <c r="T44" i="41" s="1"/>
  <c r="K20" i="65"/>
  <c r="AH20" i="65"/>
  <c r="AB45" i="41"/>
  <c r="AB25" i="65" s="1"/>
  <c r="AB115" i="65" s="1"/>
  <c r="AG21" i="65"/>
  <c r="AK26" i="65"/>
  <c r="AK116" i="65" s="1"/>
  <c r="AK127" i="65" s="1"/>
  <c r="AK156" i="65" s="1"/>
  <c r="AK61" i="105" s="1"/>
  <c r="AK101" i="105" s="1"/>
  <c r="AO76" i="41"/>
  <c r="AG22" i="65"/>
  <c r="S40" i="41"/>
  <c r="S20" i="65" s="1"/>
  <c r="V41" i="41"/>
  <c r="T46" i="41"/>
  <c r="T26" i="65" s="1"/>
  <c r="T116" i="65" s="1"/>
  <c r="T40" i="41"/>
  <c r="T20" i="65" s="1"/>
  <c r="T41" i="41"/>
  <c r="T21" i="65" s="1"/>
  <c r="L256" i="73"/>
  <c r="L24" i="41" s="1"/>
  <c r="N44" i="41" s="1"/>
  <c r="P256" i="73"/>
  <c r="P24" i="41" s="1"/>
  <c r="AC44" i="41" s="1"/>
  <c r="R40" i="41"/>
  <c r="R20" i="65" s="1"/>
  <c r="V46" i="41"/>
  <c r="V82" i="41" s="1"/>
  <c r="O46" i="41"/>
  <c r="U40" i="41"/>
  <c r="U20" i="65" s="1"/>
  <c r="U41" i="41"/>
  <c r="U21" i="65" s="1"/>
  <c r="R46" i="41"/>
  <c r="R82" i="41" s="1"/>
  <c r="AJ82" i="41"/>
  <c r="R41" i="41"/>
  <c r="R21" i="65" s="1"/>
  <c r="S46" i="41"/>
  <c r="S82" i="41" s="1"/>
  <c r="P46" i="41"/>
  <c r="P26" i="65" s="1"/>
  <c r="P116" i="65" s="1"/>
  <c r="AG25" i="65"/>
  <c r="AG115" i="65" s="1"/>
  <c r="AG135" i="65" s="1"/>
  <c r="AG164" i="65" s="1"/>
  <c r="AG69" i="105" s="1"/>
  <c r="AI77" i="41"/>
  <c r="K77" i="41"/>
  <c r="R45" i="41"/>
  <c r="R25" i="65" s="1"/>
  <c r="R115" i="65" s="1"/>
  <c r="O256" i="73"/>
  <c r="O24" i="41" s="1"/>
  <c r="Y44" i="41" s="1"/>
  <c r="P122" i="74"/>
  <c r="P154" i="74" s="1"/>
  <c r="AJ76" i="41"/>
  <c r="AE41" i="41"/>
  <c r="AE21" i="65" s="1"/>
  <c r="R115" i="74"/>
  <c r="R147" i="74" s="1"/>
  <c r="M115" i="74"/>
  <c r="M147" i="74" s="1"/>
  <c r="AG76" i="41"/>
  <c r="AD41" i="41"/>
  <c r="AD77" i="41" s="1"/>
  <c r="V115" i="74"/>
  <c r="V147" i="74" s="1"/>
  <c r="P115" i="74"/>
  <c r="P147" i="74" s="1"/>
  <c r="R42" i="41"/>
  <c r="R78" i="41" s="1"/>
  <c r="O122" i="74"/>
  <c r="O154" i="74" s="1"/>
  <c r="M256" i="73"/>
  <c r="M24" i="41" s="1"/>
  <c r="Q44" i="41" s="1"/>
  <c r="Q24" i="65" s="1"/>
  <c r="Q114" i="65" s="1"/>
  <c r="R122" i="74"/>
  <c r="R154" i="74" s="1"/>
  <c r="AN82" i="41"/>
  <c r="X115" i="74"/>
  <c r="X147" i="74" s="1"/>
  <c r="U115" i="74"/>
  <c r="U147" i="74" s="1"/>
  <c r="AN145" i="65"/>
  <c r="AN174" i="65" s="1"/>
  <c r="AN79" i="105" s="1"/>
  <c r="AN199" i="105" s="1"/>
  <c r="T122" i="74"/>
  <c r="T154" i="74" s="1"/>
  <c r="Q115" i="74"/>
  <c r="Q147" i="74" s="1"/>
  <c r="N115" i="74"/>
  <c r="N147" i="74" s="1"/>
  <c r="S42" i="41"/>
  <c r="S22" i="65" s="1"/>
  <c r="AN127" i="65"/>
  <c r="AN156" i="65" s="1"/>
  <c r="AN61" i="105" s="1"/>
  <c r="AN101" i="105" s="1"/>
  <c r="K122" i="74"/>
  <c r="K154" i="74" s="1"/>
  <c r="M122" i="74"/>
  <c r="M154" i="74" s="1"/>
  <c r="T42" i="41"/>
  <c r="T22" i="65" s="1"/>
  <c r="X122" i="74"/>
  <c r="X154" i="74" s="1"/>
  <c r="Q122" i="74"/>
  <c r="Q154" i="74" s="1"/>
  <c r="AL78" i="41"/>
  <c r="U42" i="41"/>
  <c r="U22" i="65" s="1"/>
  <c r="AF41" i="41"/>
  <c r="AF77" i="41" s="1"/>
  <c r="U122" i="74"/>
  <c r="U154" i="74" s="1"/>
  <c r="O115" i="74"/>
  <c r="O147" i="74" s="1"/>
  <c r="S115" i="74"/>
  <c r="S147" i="74" s="1"/>
  <c r="K115" i="74"/>
  <c r="K147" i="74" s="1"/>
  <c r="AB41" i="41"/>
  <c r="AB21" i="65" s="1"/>
  <c r="AK77" i="41"/>
  <c r="AE45" i="41"/>
  <c r="AE25" i="65" s="1"/>
  <c r="AE115" i="65" s="1"/>
  <c r="AF45" i="41"/>
  <c r="AF81" i="41" s="1"/>
  <c r="K25" i="65"/>
  <c r="K115" i="65" s="1"/>
  <c r="K126" i="65" s="1"/>
  <c r="K155" i="65" s="1"/>
  <c r="K60" i="105" s="1"/>
  <c r="K100" i="105" s="1"/>
  <c r="AO26" i="65"/>
  <c r="AO116" i="65" s="1"/>
  <c r="AO127" i="65" s="1"/>
  <c r="AO156" i="65" s="1"/>
  <c r="AO61" i="105" s="1"/>
  <c r="AO101" i="105" s="1"/>
  <c r="M40" i="41"/>
  <c r="M76" i="41" s="1"/>
  <c r="J256" i="73"/>
  <c r="J24" i="41" s="1"/>
  <c r="J44" i="41" s="1"/>
  <c r="J24" i="65" s="1"/>
  <c r="J114" i="65" s="1"/>
  <c r="W46" i="41"/>
  <c r="W82" i="41" s="1"/>
  <c r="V118" i="74"/>
  <c r="V150" i="74" s="1"/>
  <c r="N118" i="74"/>
  <c r="N150" i="74" s="1"/>
  <c r="Q26" i="65"/>
  <c r="Q116" i="65" s="1"/>
  <c r="Q44" i="82" s="1"/>
  <c r="AH26" i="65"/>
  <c r="AH116" i="65" s="1"/>
  <c r="AH44" i="82" s="1"/>
  <c r="AF40" i="41"/>
  <c r="AF76" i="41" s="1"/>
  <c r="AB40" i="41"/>
  <c r="AB76" i="41" s="1"/>
  <c r="AD40" i="41"/>
  <c r="AD20" i="65" s="1"/>
  <c r="AC40" i="41"/>
  <c r="AC76" i="41" s="1"/>
  <c r="U45" i="41"/>
  <c r="U25" i="65" s="1"/>
  <c r="U115" i="65" s="1"/>
  <c r="AJ22" i="65"/>
  <c r="Q81" i="41"/>
  <c r="S45" i="41"/>
  <c r="S81" i="41" s="1"/>
  <c r="K26" i="65"/>
  <c r="K116" i="65" s="1"/>
  <c r="K44" i="82" s="1"/>
  <c r="V45" i="41"/>
  <c r="V81" i="41" s="1"/>
  <c r="Q78" i="41"/>
  <c r="AM21" i="65"/>
  <c r="J77" i="41"/>
  <c r="Z46" i="41"/>
  <c r="Z26" i="65" s="1"/>
  <c r="Z116" i="65" s="1"/>
  <c r="M118" i="74"/>
  <c r="M150" i="74" s="1"/>
  <c r="O118" i="74"/>
  <c r="O150" i="74" s="1"/>
  <c r="AN21" i="65"/>
  <c r="AA46" i="41"/>
  <c r="AA26" i="65" s="1"/>
  <c r="AA116" i="65" s="1"/>
  <c r="K118" i="74"/>
  <c r="K150" i="74" s="1"/>
  <c r="Q118" i="74"/>
  <c r="Q150" i="74" s="1"/>
  <c r="K256" i="73"/>
  <c r="K24" i="41" s="1"/>
  <c r="K44" i="41" s="1"/>
  <c r="K24" i="65" s="1"/>
  <c r="K114" i="65" s="1"/>
  <c r="K125" i="65" s="1"/>
  <c r="K154" i="65" s="1"/>
  <c r="K59" i="105" s="1"/>
  <c r="K99" i="105" s="1"/>
  <c r="X46" i="41"/>
  <c r="X26" i="65" s="1"/>
  <c r="X116" i="65" s="1"/>
  <c r="Y118" i="74"/>
  <c r="Y150" i="74" s="1"/>
  <c r="R118" i="74"/>
  <c r="R150" i="74" s="1"/>
  <c r="S118" i="74"/>
  <c r="S150" i="74" s="1"/>
  <c r="P118" i="74"/>
  <c r="P150" i="74" s="1"/>
  <c r="T118" i="74"/>
  <c r="T150" i="74" s="1"/>
  <c r="U118" i="74"/>
  <c r="U150" i="74" s="1"/>
  <c r="W118" i="74"/>
  <c r="W150" i="74" s="1"/>
  <c r="AA45" i="41"/>
  <c r="AA81" i="41" s="1"/>
  <c r="J25" i="65"/>
  <c r="J115" i="65" s="1"/>
  <c r="J126" i="65" s="1"/>
  <c r="J155" i="65" s="1"/>
  <c r="J60" i="105" s="1"/>
  <c r="J100" i="105" s="1"/>
  <c r="AC42" i="41"/>
  <c r="AC78" i="41" s="1"/>
  <c r="AF46" i="41"/>
  <c r="AF82" i="41" s="1"/>
  <c r="Y45" i="41"/>
  <c r="Y25" i="65" s="1"/>
  <c r="Y115" i="65" s="1"/>
  <c r="AG26" i="65"/>
  <c r="AG116" i="65" s="1"/>
  <c r="AG127" i="65" s="1"/>
  <c r="AG156" i="65" s="1"/>
  <c r="AG61" i="105" s="1"/>
  <c r="AG101" i="105" s="1"/>
  <c r="AF42" i="41"/>
  <c r="AF22" i="65" s="1"/>
  <c r="AI78" i="41"/>
  <c r="AI26" i="65"/>
  <c r="AI116" i="65" s="1"/>
  <c r="AI145" i="65" s="1"/>
  <c r="AI174" i="65" s="1"/>
  <c r="AI79" i="105" s="1"/>
  <c r="Y22" i="65"/>
  <c r="Z45" i="41"/>
  <c r="Z25" i="65" s="1"/>
  <c r="Z115" i="65" s="1"/>
  <c r="Z42" i="41"/>
  <c r="Z22" i="65" s="1"/>
  <c r="W45" i="41"/>
  <c r="W81" i="41" s="1"/>
  <c r="AB46" i="41"/>
  <c r="AB26" i="65" s="1"/>
  <c r="AB116" i="65" s="1"/>
  <c r="AA42" i="41"/>
  <c r="AA78" i="41" s="1"/>
  <c r="AE42" i="41"/>
  <c r="AE78" i="41" s="1"/>
  <c r="AE46" i="41"/>
  <c r="AE82" i="41" s="1"/>
  <c r="X42" i="41"/>
  <c r="X22" i="65" s="1"/>
  <c r="N122" i="74"/>
  <c r="N154" i="74" s="1"/>
  <c r="AD42" i="41"/>
  <c r="AD78" i="41" s="1"/>
  <c r="Y122" i="74"/>
  <c r="Y154" i="74" s="1"/>
  <c r="V122" i="74"/>
  <c r="V154" i="74" s="1"/>
  <c r="AD46" i="41"/>
  <c r="AD26" i="65" s="1"/>
  <c r="AD116" i="65" s="1"/>
  <c r="AL21" i="65"/>
  <c r="S122" i="74"/>
  <c r="S154" i="74" s="1"/>
  <c r="W42" i="41"/>
  <c r="W78" i="41" s="1"/>
  <c r="AL20" i="65"/>
  <c r="X41" i="41"/>
  <c r="X21" i="65" s="1"/>
  <c r="Q114" i="74"/>
  <c r="Q146" i="74" s="1"/>
  <c r="AK20" i="65"/>
  <c r="AN22" i="65"/>
  <c r="P40" i="41"/>
  <c r="P76" i="41" s="1"/>
  <c r="P42" i="41"/>
  <c r="P22" i="65" s="1"/>
  <c r="N40" i="41"/>
  <c r="N76" i="41" s="1"/>
  <c r="L42" i="41"/>
  <c r="L22" i="65" s="1"/>
  <c r="AJ77" i="41"/>
  <c r="K22" i="65"/>
  <c r="M22" i="65"/>
  <c r="O40" i="41"/>
  <c r="O76" i="41" s="1"/>
  <c r="R114" i="74"/>
  <c r="R146" i="74" s="1"/>
  <c r="P41" i="41"/>
  <c r="P77" i="41" s="1"/>
  <c r="AL82" i="41"/>
  <c r="AA41" i="41"/>
  <c r="AA77" i="41" s="1"/>
  <c r="M45" i="41"/>
  <c r="M25" i="65" s="1"/>
  <c r="M115" i="65" s="1"/>
  <c r="M144" i="65" s="1"/>
  <c r="M173" i="65" s="1"/>
  <c r="M78" i="105" s="1"/>
  <c r="Z21" i="65"/>
  <c r="M114" i="74"/>
  <c r="M146" i="74" s="1"/>
  <c r="S114" i="74"/>
  <c r="S146" i="74" s="1"/>
  <c r="J26" i="65"/>
  <c r="J116" i="65" s="1"/>
  <c r="J127" i="65" s="1"/>
  <c r="J156" i="65" s="1"/>
  <c r="J61" i="105" s="1"/>
  <c r="J101" i="105" s="1"/>
  <c r="T114" i="74"/>
  <c r="T146" i="74" s="1"/>
  <c r="O114" i="74"/>
  <c r="O146" i="74" s="1"/>
  <c r="O41" i="41"/>
  <c r="O21" i="65" s="1"/>
  <c r="Y41" i="41"/>
  <c r="Y77" i="41" s="1"/>
  <c r="K114" i="74"/>
  <c r="K146" i="74" s="1"/>
  <c r="U114" i="74"/>
  <c r="U146" i="74" s="1"/>
  <c r="L41" i="41"/>
  <c r="L21" i="65" s="1"/>
  <c r="AM20" i="65"/>
  <c r="AH77" i="41"/>
  <c r="P45" i="41"/>
  <c r="P25" i="65" s="1"/>
  <c r="P115" i="65" s="1"/>
  <c r="P126" i="65" s="1"/>
  <c r="P155" i="65" s="1"/>
  <c r="P60" i="105" s="1"/>
  <c r="P100" i="105" s="1"/>
  <c r="W114" i="74"/>
  <c r="W146" i="74" s="1"/>
  <c r="P114" i="74"/>
  <c r="P146" i="74" s="1"/>
  <c r="M41" i="41"/>
  <c r="M21" i="65" s="1"/>
  <c r="O45" i="41"/>
  <c r="O25" i="65" s="1"/>
  <c r="O115" i="65" s="1"/>
  <c r="O144" i="65" s="1"/>
  <c r="O173" i="65" s="1"/>
  <c r="O78" i="105" s="1"/>
  <c r="N114" i="74"/>
  <c r="N146" i="74" s="1"/>
  <c r="Y114" i="74"/>
  <c r="Y146" i="74" s="1"/>
  <c r="L25" i="65"/>
  <c r="L115" i="65" s="1"/>
  <c r="L126" i="65" s="1"/>
  <c r="L155" i="65" s="1"/>
  <c r="L60" i="105" s="1"/>
  <c r="L100" i="105" s="1"/>
  <c r="N45" i="41"/>
  <c r="N81" i="41" s="1"/>
  <c r="V114" i="74"/>
  <c r="V146" i="74" s="1"/>
  <c r="X114" i="74"/>
  <c r="X146" i="74" s="1"/>
  <c r="W41" i="41"/>
  <c r="W77" i="41" s="1"/>
  <c r="L46" i="41"/>
  <c r="L82" i="41" s="1"/>
  <c r="O42" i="41"/>
  <c r="O78" i="41" s="1"/>
  <c r="N42" i="41"/>
  <c r="N78" i="41" s="1"/>
  <c r="M46" i="41"/>
  <c r="M26" i="65" s="1"/>
  <c r="M116" i="65" s="1"/>
  <c r="Q21" i="65"/>
  <c r="AM22" i="65"/>
  <c r="Z40" i="41"/>
  <c r="Z20" i="65" s="1"/>
  <c r="AN76" i="41"/>
  <c r="AO77" i="41"/>
  <c r="AO78" i="41"/>
  <c r="Y40" i="41"/>
  <c r="Y20" i="65" s="1"/>
  <c r="AA40" i="41"/>
  <c r="AA20" i="65" s="1"/>
  <c r="W40" i="41"/>
  <c r="W76" i="41" s="1"/>
  <c r="AH78" i="41"/>
  <c r="AI76" i="41"/>
  <c r="H239" i="83"/>
  <c r="H241" i="83" s="1"/>
  <c r="A4" i="83" s="1"/>
  <c r="AM82" i="41"/>
  <c r="Q76" i="41"/>
  <c r="AG43" i="82"/>
  <c r="H223" i="71" a="1"/>
  <c r="H223" i="71" s="1"/>
  <c r="A4" i="71" s="1"/>
  <c r="AG144" i="65"/>
  <c r="AG173" i="65" s="1"/>
  <c r="AG78" i="105" s="1"/>
  <c r="AG198" i="105" s="1"/>
  <c r="AG126" i="65"/>
  <c r="AG155" i="65" s="1"/>
  <c r="AG60" i="105" s="1"/>
  <c r="AG100" i="105" s="1"/>
  <c r="V77" i="41"/>
  <c r="V21" i="65"/>
  <c r="Q80" i="41"/>
  <c r="AJ145" i="65"/>
  <c r="AJ174" i="65" s="1"/>
  <c r="AJ79" i="105" s="1"/>
  <c r="AJ136" i="65"/>
  <c r="AJ165" i="65" s="1"/>
  <c r="AJ70" i="105" s="1"/>
  <c r="AJ127" i="65"/>
  <c r="AJ156" i="65" s="1"/>
  <c r="AJ61" i="105" s="1"/>
  <c r="AJ101" i="105" s="1"/>
  <c r="AJ44" i="82"/>
  <c r="O82" i="41"/>
  <c r="O26" i="65"/>
  <c r="O116" i="65" s="1"/>
  <c r="J114" i="74"/>
  <c r="L114" i="74"/>
  <c r="L146" i="74" s="1"/>
  <c r="L161" i="74" s="1"/>
  <c r="L23" i="41" s="1"/>
  <c r="X20" i="65"/>
  <c r="X76" i="41"/>
  <c r="AG80" i="41"/>
  <c r="AG24" i="65"/>
  <c r="AG114" i="65" s="1"/>
  <c r="AG187" i="105"/>
  <c r="AG110" i="105"/>
  <c r="U26" i="65"/>
  <c r="U116" i="65" s="1"/>
  <c r="U82" i="41"/>
  <c r="X25" i="65"/>
  <c r="X115" i="65" s="1"/>
  <c r="X81" i="41"/>
  <c r="V22" i="65"/>
  <c r="V78" i="41"/>
  <c r="N26" i="65"/>
  <c r="N116" i="65" s="1"/>
  <c r="N82" i="41"/>
  <c r="S77" i="41"/>
  <c r="S21" i="65"/>
  <c r="W44" i="41"/>
  <c r="AL127" i="65"/>
  <c r="AL156" i="65" s="1"/>
  <c r="AL61" i="105" s="1"/>
  <c r="AL101" i="105" s="1"/>
  <c r="AK44" i="82"/>
  <c r="AL145" i="65"/>
  <c r="AL174" i="65" s="1"/>
  <c r="AL79" i="105" s="1"/>
  <c r="V20" i="65"/>
  <c r="V76" i="41"/>
  <c r="L76" i="41"/>
  <c r="L20" i="65"/>
  <c r="AD25" i="65"/>
  <c r="AD115" i="65" s="1"/>
  <c r="AD81" i="41"/>
  <c r="AB78" i="41"/>
  <c r="AB22" i="65"/>
  <c r="M44" i="41"/>
  <c r="L44" i="41"/>
  <c r="AB81" i="41"/>
  <c r="Q135" i="65"/>
  <c r="Q164" i="65" s="1"/>
  <c r="Q69" i="105" s="1"/>
  <c r="Q144" i="65"/>
  <c r="Q173" i="65" s="1"/>
  <c r="Q78" i="105" s="1"/>
  <c r="Q43" i="82"/>
  <c r="Q126" i="65"/>
  <c r="Q155" i="65" s="1"/>
  <c r="Q60" i="105" s="1"/>
  <c r="Q100" i="105" s="1"/>
  <c r="S76" i="41"/>
  <c r="AC21" i="65"/>
  <c r="AC77" i="41"/>
  <c r="T25" i="65"/>
  <c r="T115" i="65" s="1"/>
  <c r="T81" i="41"/>
  <c r="AC82" i="41"/>
  <c r="AC26" i="65"/>
  <c r="AC116" i="65" s="1"/>
  <c r="J55" i="55"/>
  <c r="A4" i="72"/>
  <c r="Y82" i="41"/>
  <c r="Y26" i="65"/>
  <c r="Y116" i="65" s="1"/>
  <c r="T76" i="41"/>
  <c r="N21" i="65"/>
  <c r="N77" i="41"/>
  <c r="J20" i="65"/>
  <c r="J76" i="41"/>
  <c r="R81" i="41"/>
  <c r="AC25" i="65"/>
  <c r="AC115" i="65" s="1"/>
  <c r="AC81" i="41"/>
  <c r="R26" i="65"/>
  <c r="R116" i="65" s="1"/>
  <c r="AE76" i="41"/>
  <c r="AE20" i="65"/>
  <c r="U81" i="41"/>
  <c r="AF21" i="65" l="1"/>
  <c r="AF25" i="65"/>
  <c r="AF115" i="65" s="1"/>
  <c r="U77" i="41"/>
  <c r="J144" i="65"/>
  <c r="J173" i="65" s="1"/>
  <c r="J78" i="105" s="1"/>
  <c r="Q127" i="65"/>
  <c r="Q156" i="65" s="1"/>
  <c r="Q61" i="105" s="1"/>
  <c r="Q101" i="105" s="1"/>
  <c r="J135" i="65"/>
  <c r="J164" i="65" s="1"/>
  <c r="J69" i="105" s="1"/>
  <c r="J43" i="82"/>
  <c r="K80" i="41"/>
  <c r="Z82" i="41"/>
  <c r="P21" i="65"/>
  <c r="T77" i="41"/>
  <c r="AD21" i="65"/>
  <c r="T82" i="41"/>
  <c r="Q136" i="65"/>
  <c r="Q165" i="65" s="1"/>
  <c r="Q70" i="105" s="1"/>
  <c r="Q111" i="105" s="1"/>
  <c r="W22" i="65"/>
  <c r="Q145" i="65"/>
  <c r="Q174" i="65" s="1"/>
  <c r="Q79" i="105" s="1"/>
  <c r="Q121" i="105" s="1"/>
  <c r="N20" i="65"/>
  <c r="U76" i="41"/>
  <c r="S44" i="41"/>
  <c r="S80" i="41" s="1"/>
  <c r="AI44" i="82"/>
  <c r="V44" i="41"/>
  <c r="V80" i="41" s="1"/>
  <c r="P82" i="41"/>
  <c r="H291" i="73" a="1"/>
  <c r="H291" i="73" s="1"/>
  <c r="H295" i="73" s="1"/>
  <c r="A4" i="73" s="1"/>
  <c r="M82" i="41"/>
  <c r="AI127" i="65"/>
  <c r="AI156" i="65" s="1"/>
  <c r="AI61" i="105" s="1"/>
  <c r="AI101" i="105" s="1"/>
  <c r="U44" i="41"/>
  <c r="U78" i="41"/>
  <c r="S78" i="41"/>
  <c r="R44" i="41"/>
  <c r="R24" i="65" s="1"/>
  <c r="R114" i="65" s="1"/>
  <c r="V26" i="65"/>
  <c r="V116" i="65" s="1"/>
  <c r="V44" i="82" s="1"/>
  <c r="K136" i="65"/>
  <c r="K165" i="65" s="1"/>
  <c r="K70" i="105" s="1"/>
  <c r="K188" i="105" s="1"/>
  <c r="P44" i="41"/>
  <c r="P24" i="65" s="1"/>
  <c r="P114" i="65" s="1"/>
  <c r="K127" i="65"/>
  <c r="K156" i="65" s="1"/>
  <c r="K61" i="105" s="1"/>
  <c r="K101" i="105" s="1"/>
  <c r="O44" i="41"/>
  <c r="AA25" i="65"/>
  <c r="AA115" i="65" s="1"/>
  <c r="AA43" i="82" s="1"/>
  <c r="AE81" i="41"/>
  <c r="AF26" i="65"/>
  <c r="AF116" i="65" s="1"/>
  <c r="AF145" i="65" s="1"/>
  <c r="AF174" i="65" s="1"/>
  <c r="AF79" i="105" s="1"/>
  <c r="L135" i="65"/>
  <c r="L164" i="65" s="1"/>
  <c r="L69" i="105" s="1"/>
  <c r="L110" i="105" s="1"/>
  <c r="AA44" i="41"/>
  <c r="AA80" i="41" s="1"/>
  <c r="AF44" i="41"/>
  <c r="AF24" i="65" s="1"/>
  <c r="AF114" i="65" s="1"/>
  <c r="AE26" i="65"/>
  <c r="AE116" i="65" s="1"/>
  <c r="L43" i="82"/>
  <c r="X82" i="41"/>
  <c r="Z44" i="41"/>
  <c r="Z24" i="65" s="1"/>
  <c r="Z114" i="65" s="1"/>
  <c r="X44" i="41"/>
  <c r="X24" i="65" s="1"/>
  <c r="X114" i="65" s="1"/>
  <c r="AF20" i="65"/>
  <c r="AA76" i="41"/>
  <c r="W26" i="65"/>
  <c r="W116" i="65" s="1"/>
  <c r="W145" i="65" s="1"/>
  <c r="W174" i="65" s="1"/>
  <c r="W79" i="105" s="1"/>
  <c r="V25" i="65"/>
  <c r="V115" i="65" s="1"/>
  <c r="AC20" i="65"/>
  <c r="AB77" i="41"/>
  <c r="AD82" i="41"/>
  <c r="AE44" i="41"/>
  <c r="AE80" i="41" s="1"/>
  <c r="R77" i="41"/>
  <c r="AD44" i="41"/>
  <c r="AD80" i="41" s="1"/>
  <c r="AB44" i="41"/>
  <c r="AB80" i="41" s="1"/>
  <c r="R22" i="65"/>
  <c r="S26" i="65"/>
  <c r="S116" i="65" s="1"/>
  <c r="S44" i="82" s="1"/>
  <c r="R76" i="41"/>
  <c r="O20" i="65"/>
  <c r="AF78" i="41"/>
  <c r="L77" i="41"/>
  <c r="AE77" i="41"/>
  <c r="AA22" i="65"/>
  <c r="K43" i="82"/>
  <c r="K135" i="65"/>
  <c r="K164" i="65" s="1"/>
  <c r="K69" i="105" s="1"/>
  <c r="K110" i="105" s="1"/>
  <c r="AH145" i="65"/>
  <c r="AH174" i="65" s="1"/>
  <c r="AH79" i="105" s="1"/>
  <c r="K144" i="65"/>
  <c r="K173" i="65" s="1"/>
  <c r="K78" i="105" s="1"/>
  <c r="K198" i="105" s="1"/>
  <c r="AH136" i="65"/>
  <c r="AH165" i="65" s="1"/>
  <c r="AH70" i="105" s="1"/>
  <c r="AH188" i="105" s="1"/>
  <c r="AH127" i="65"/>
  <c r="AH156" i="65" s="1"/>
  <c r="AH61" i="105" s="1"/>
  <c r="AH101" i="105" s="1"/>
  <c r="X161" i="74"/>
  <c r="X23" i="41" s="1"/>
  <c r="AN43" i="41" s="1"/>
  <c r="AN79" i="41" s="1"/>
  <c r="AN83" i="41" s="1"/>
  <c r="M20" i="65"/>
  <c r="AB20" i="65"/>
  <c r="T78" i="41"/>
  <c r="AN121" i="105"/>
  <c r="K145" i="65"/>
  <c r="K174" i="65" s="1"/>
  <c r="K79" i="105" s="1"/>
  <c r="K121" i="105" s="1"/>
  <c r="U161" i="74"/>
  <c r="U23" i="41" s="1"/>
  <c r="AK43" i="41" s="1"/>
  <c r="AK23" i="65" s="1"/>
  <c r="Q161" i="74"/>
  <c r="Q23" i="41" s="1"/>
  <c r="AG43" i="41" s="1"/>
  <c r="AG23" i="65" s="1"/>
  <c r="L144" i="65"/>
  <c r="L173" i="65" s="1"/>
  <c r="L78" i="105" s="1"/>
  <c r="L120" i="105" s="1"/>
  <c r="J80" i="41"/>
  <c r="W161" i="74"/>
  <c r="W23" i="41" s="1"/>
  <c r="AM43" i="41" s="1"/>
  <c r="AM23" i="65" s="1"/>
  <c r="J44" i="82"/>
  <c r="K134" i="65"/>
  <c r="K163" i="65" s="1"/>
  <c r="K68" i="105" s="1"/>
  <c r="K186" i="105" s="1"/>
  <c r="K143" i="65"/>
  <c r="K172" i="65" s="1"/>
  <c r="K77" i="105" s="1"/>
  <c r="K197" i="105" s="1"/>
  <c r="K42" i="82"/>
  <c r="AD76" i="41"/>
  <c r="K161" i="74"/>
  <c r="K23" i="41" s="1"/>
  <c r="K43" i="41" s="1"/>
  <c r="K79" i="41" s="1"/>
  <c r="AG136" i="65"/>
  <c r="AG165" i="65" s="1"/>
  <c r="AG70" i="105" s="1"/>
  <c r="AG188" i="105" s="1"/>
  <c r="S25" i="65"/>
  <c r="S115" i="65" s="1"/>
  <c r="S144" i="65" s="1"/>
  <c r="S173" i="65" s="1"/>
  <c r="S78" i="105" s="1"/>
  <c r="O77" i="41"/>
  <c r="W21" i="65"/>
  <c r="X77" i="41"/>
  <c r="AA82" i="41"/>
  <c r="AD22" i="65"/>
  <c r="M81" i="41"/>
  <c r="AC22" i="65"/>
  <c r="P161" i="74"/>
  <c r="P23" i="41" s="1"/>
  <c r="AB43" i="41" s="1"/>
  <c r="O161" i="74"/>
  <c r="O23" i="41" s="1"/>
  <c r="Z43" i="41" s="1"/>
  <c r="Z23" i="65" s="1"/>
  <c r="AA21" i="65"/>
  <c r="Z81" i="41"/>
  <c r="R161" i="74"/>
  <c r="R23" i="41" s="1"/>
  <c r="AH43" i="41" s="1"/>
  <c r="AH23" i="65" s="1"/>
  <c r="L78" i="41"/>
  <c r="N161" i="74"/>
  <c r="N23" i="41" s="1"/>
  <c r="V43" i="41" s="1"/>
  <c r="X78" i="41"/>
  <c r="M161" i="74"/>
  <c r="M23" i="41" s="1"/>
  <c r="Q43" i="41" s="1"/>
  <c r="Q79" i="41" s="1"/>
  <c r="Q83" i="41" s="1"/>
  <c r="V161" i="74"/>
  <c r="V23" i="41" s="1"/>
  <c r="AL43" i="41" s="1"/>
  <c r="AL23" i="65" s="1"/>
  <c r="T161" i="74"/>
  <c r="T23" i="41" s="1"/>
  <c r="AJ43" i="41" s="1"/>
  <c r="AJ23" i="65" s="1"/>
  <c r="M135" i="65"/>
  <c r="M164" i="65" s="1"/>
  <c r="M69" i="105" s="1"/>
  <c r="M187" i="105" s="1"/>
  <c r="M126" i="65"/>
  <c r="M155" i="65" s="1"/>
  <c r="M60" i="105" s="1"/>
  <c r="M100" i="105" s="1"/>
  <c r="Z76" i="41"/>
  <c r="Y21" i="65"/>
  <c r="AG44" i="82"/>
  <c r="W25" i="65"/>
  <c r="W115" i="65" s="1"/>
  <c r="W43" i="82" s="1"/>
  <c r="O135" i="65"/>
  <c r="O164" i="65" s="1"/>
  <c r="O69" i="105" s="1"/>
  <c r="O187" i="105" s="1"/>
  <c r="AB82" i="41"/>
  <c r="M43" i="82"/>
  <c r="Y81" i="41"/>
  <c r="AG145" i="65"/>
  <c r="AG174" i="65" s="1"/>
  <c r="AG79" i="105" s="1"/>
  <c r="AG199" i="105" s="1"/>
  <c r="J51" i="55"/>
  <c r="M77" i="41"/>
  <c r="Z78" i="41"/>
  <c r="Y161" i="74"/>
  <c r="Y23" i="41" s="1"/>
  <c r="AO43" i="41" s="1"/>
  <c r="AO79" i="41" s="1"/>
  <c r="AO83" i="41" s="1"/>
  <c r="S161" i="74"/>
  <c r="S23" i="41" s="1"/>
  <c r="AI43" i="41" s="1"/>
  <c r="AI79" i="41" s="1"/>
  <c r="AI83" i="41" s="1"/>
  <c r="J145" i="65"/>
  <c r="J174" i="65" s="1"/>
  <c r="J79" i="105" s="1"/>
  <c r="J121" i="105" s="1"/>
  <c r="J136" i="65"/>
  <c r="J165" i="65" s="1"/>
  <c r="J70" i="105" s="1"/>
  <c r="J111" i="105" s="1"/>
  <c r="P20" i="65"/>
  <c r="AE22" i="65"/>
  <c r="W20" i="65"/>
  <c r="P43" i="82"/>
  <c r="P135" i="65"/>
  <c r="P164" i="65" s="1"/>
  <c r="P69" i="105" s="1"/>
  <c r="P187" i="105" s="1"/>
  <c r="P78" i="41"/>
  <c r="O81" i="41"/>
  <c r="O43" i="82"/>
  <c r="O126" i="65"/>
  <c r="O155" i="65" s="1"/>
  <c r="O60" i="105" s="1"/>
  <c r="O100" i="105" s="1"/>
  <c r="L26" i="65"/>
  <c r="L116" i="65" s="1"/>
  <c r="L145" i="65" s="1"/>
  <c r="L174" i="65" s="1"/>
  <c r="L79" i="105" s="1"/>
  <c r="N25" i="65"/>
  <c r="N115" i="65" s="1"/>
  <c r="N144" i="65" s="1"/>
  <c r="N173" i="65" s="1"/>
  <c r="N78" i="105" s="1"/>
  <c r="N198" i="105" s="1"/>
  <c r="P144" i="65"/>
  <c r="P173" i="65" s="1"/>
  <c r="P78" i="105" s="1"/>
  <c r="P120" i="105" s="1"/>
  <c r="P81" i="41"/>
  <c r="O22" i="65"/>
  <c r="Y76" i="41"/>
  <c r="N22" i="65"/>
  <c r="AG120" i="105"/>
  <c r="J53" i="55"/>
  <c r="P43" i="41"/>
  <c r="N43" i="41"/>
  <c r="L43" i="41"/>
  <c r="M43" i="41"/>
  <c r="O43" i="41"/>
  <c r="AB44" i="82"/>
  <c r="AB145" i="65"/>
  <c r="AB174" i="65" s="1"/>
  <c r="AB79" i="105" s="1"/>
  <c r="AB127" i="65"/>
  <c r="AB156" i="65" s="1"/>
  <c r="AB61" i="105" s="1"/>
  <c r="AB101" i="105" s="1"/>
  <c r="AJ188" i="105"/>
  <c r="AJ111" i="105"/>
  <c r="Q23" i="65"/>
  <c r="AI199" i="105"/>
  <c r="AI121" i="105"/>
  <c r="O120" i="105"/>
  <c r="O198" i="105"/>
  <c r="V43" i="82"/>
  <c r="V126" i="65"/>
  <c r="V155" i="65" s="1"/>
  <c r="V60" i="105" s="1"/>
  <c r="V100" i="105" s="1"/>
  <c r="V144" i="65"/>
  <c r="V173" i="65" s="1"/>
  <c r="V78" i="105" s="1"/>
  <c r="V135" i="65"/>
  <c r="V164" i="65" s="1"/>
  <c r="V69" i="105" s="1"/>
  <c r="J110" i="105"/>
  <c r="J187" i="105"/>
  <c r="N80" i="41"/>
  <c r="N24" i="65"/>
  <c r="N114" i="65" s="1"/>
  <c r="W127" i="65"/>
  <c r="W156" i="65" s="1"/>
  <c r="W61" i="105" s="1"/>
  <c r="W101" i="105" s="1"/>
  <c r="X126" i="65"/>
  <c r="X155" i="65" s="1"/>
  <c r="X60" i="105" s="1"/>
  <c r="X100" i="105" s="1"/>
  <c r="X144" i="65"/>
  <c r="X173" i="65" s="1"/>
  <c r="X78" i="105" s="1"/>
  <c r="X43" i="82"/>
  <c r="J146" i="74"/>
  <c r="J161" i="74" s="1"/>
  <c r="J23" i="41" s="1"/>
  <c r="J43" i="41" s="1"/>
  <c r="AJ121" i="105"/>
  <c r="AJ199" i="105"/>
  <c r="Y144" i="65"/>
  <c r="Y173" i="65" s="1"/>
  <c r="Y78" i="105" s="1"/>
  <c r="Y43" i="82"/>
  <c r="Y126" i="65"/>
  <c r="Y155" i="65" s="1"/>
  <c r="Y60" i="105" s="1"/>
  <c r="Y100" i="105" s="1"/>
  <c r="AE43" i="82"/>
  <c r="AE126" i="65"/>
  <c r="AE155" i="65" s="1"/>
  <c r="AE60" i="105" s="1"/>
  <c r="AE100" i="105" s="1"/>
  <c r="AE144" i="65"/>
  <c r="AE173" i="65" s="1"/>
  <c r="AE78" i="105" s="1"/>
  <c r="AC80" i="41"/>
  <c r="AC24" i="65"/>
  <c r="AC114" i="65" s="1"/>
  <c r="AC127" i="65"/>
  <c r="AC156" i="65" s="1"/>
  <c r="AC61" i="105" s="1"/>
  <c r="AC101" i="105" s="1"/>
  <c r="AC44" i="82"/>
  <c r="AC145" i="65"/>
  <c r="AC174" i="65" s="1"/>
  <c r="AC79" i="105" s="1"/>
  <c r="T24" i="65"/>
  <c r="T114" i="65" s="1"/>
  <c r="T80" i="41"/>
  <c r="L80" i="41"/>
  <c r="L24" i="65"/>
  <c r="L114" i="65" s="1"/>
  <c r="Z79" i="41"/>
  <c r="Z80" i="41"/>
  <c r="AA126" i="65"/>
  <c r="AA155" i="65" s="1"/>
  <c r="AA60" i="105" s="1"/>
  <c r="AA100" i="105" s="1"/>
  <c r="N44" i="82"/>
  <c r="N145" i="65"/>
  <c r="N174" i="65" s="1"/>
  <c r="N79" i="105" s="1"/>
  <c r="N127" i="65"/>
  <c r="N156" i="65" s="1"/>
  <c r="N61" i="105" s="1"/>
  <c r="N101" i="105" s="1"/>
  <c r="N136" i="65"/>
  <c r="N165" i="65" s="1"/>
  <c r="N70" i="105" s="1"/>
  <c r="AA44" i="82"/>
  <c r="AA145" i="65"/>
  <c r="AA174" i="65" s="1"/>
  <c r="AA79" i="105" s="1"/>
  <c r="AA127" i="65"/>
  <c r="AA156" i="65" s="1"/>
  <c r="AA61" i="105" s="1"/>
  <c r="AA101" i="105" s="1"/>
  <c r="S136" i="65"/>
  <c r="S165" i="65" s="1"/>
  <c r="S70" i="105" s="1"/>
  <c r="M120" i="105"/>
  <c r="M198" i="105"/>
  <c r="K120" i="105"/>
  <c r="AC126" i="65"/>
  <c r="AC155" i="65" s="1"/>
  <c r="AC60" i="105" s="1"/>
  <c r="AC100" i="105" s="1"/>
  <c r="AC43" i="82"/>
  <c r="AC144" i="65"/>
  <c r="AC173" i="65" s="1"/>
  <c r="AC78" i="105" s="1"/>
  <c r="Z43" i="82"/>
  <c r="Z126" i="65"/>
  <c r="Z155" i="65" s="1"/>
  <c r="Z60" i="105" s="1"/>
  <c r="Z100" i="105" s="1"/>
  <c r="Z144" i="65"/>
  <c r="Z173" i="65" s="1"/>
  <c r="Z78" i="105" s="1"/>
  <c r="Y127" i="65"/>
  <c r="Y156" i="65" s="1"/>
  <c r="Y61" i="105" s="1"/>
  <c r="Y101" i="105" s="1"/>
  <c r="Y44" i="82"/>
  <c r="Y145" i="65"/>
  <c r="Y174" i="65" s="1"/>
  <c r="Y79" i="105" s="1"/>
  <c r="M80" i="41"/>
  <c r="M24" i="65"/>
  <c r="M114" i="65" s="1"/>
  <c r="Y24" i="65"/>
  <c r="Y114" i="65" s="1"/>
  <c r="Y80" i="41"/>
  <c r="R126" i="65"/>
  <c r="R155" i="65" s="1"/>
  <c r="R60" i="105" s="1"/>
  <c r="R100" i="105" s="1"/>
  <c r="R144" i="65"/>
  <c r="R173" i="65" s="1"/>
  <c r="R78" i="105" s="1"/>
  <c r="R43" i="82"/>
  <c r="R135" i="65"/>
  <c r="R164" i="65" s="1"/>
  <c r="R69" i="105" s="1"/>
  <c r="U24" i="65"/>
  <c r="U114" i="65" s="1"/>
  <c r="U80" i="41"/>
  <c r="J198" i="105"/>
  <c r="J120" i="105"/>
  <c r="R127" i="65"/>
  <c r="R156" i="65" s="1"/>
  <c r="R61" i="105" s="1"/>
  <c r="R101" i="105" s="1"/>
  <c r="R136" i="65"/>
  <c r="R165" i="65" s="1"/>
  <c r="R70" i="105" s="1"/>
  <c r="R44" i="82"/>
  <c r="R145" i="65"/>
  <c r="R174" i="65" s="1"/>
  <c r="R79" i="105" s="1"/>
  <c r="AB24" i="65"/>
  <c r="AB114" i="65" s="1"/>
  <c r="X127" i="65"/>
  <c r="X156" i="65" s="1"/>
  <c r="X61" i="105" s="1"/>
  <c r="X101" i="105" s="1"/>
  <c r="X145" i="65"/>
  <c r="X174" i="65" s="1"/>
  <c r="X79" i="105" s="1"/>
  <c r="X44" i="82"/>
  <c r="T136" i="65"/>
  <c r="T165" i="65" s="1"/>
  <c r="T70" i="105" s="1"/>
  <c r="T127" i="65"/>
  <c r="T156" i="65" s="1"/>
  <c r="T61" i="105" s="1"/>
  <c r="T101" i="105" s="1"/>
  <c r="T44" i="82"/>
  <c r="T145" i="65"/>
  <c r="T174" i="65" s="1"/>
  <c r="T79" i="105" s="1"/>
  <c r="AF43" i="82"/>
  <c r="AF144" i="65"/>
  <c r="AF173" i="65" s="1"/>
  <c r="AF78" i="105" s="1"/>
  <c r="AF126" i="65"/>
  <c r="AF155" i="65" s="1"/>
  <c r="AF60" i="105" s="1"/>
  <c r="AF100" i="105" s="1"/>
  <c r="W24" i="65"/>
  <c r="W114" i="65" s="1"/>
  <c r="W80" i="41"/>
  <c r="J134" i="65"/>
  <c r="J163" i="65" s="1"/>
  <c r="J68" i="105" s="1"/>
  <c r="J42" i="82"/>
  <c r="J143" i="65"/>
  <c r="J172" i="65" s="1"/>
  <c r="J77" i="105" s="1"/>
  <c r="J125" i="65"/>
  <c r="J154" i="65" s="1"/>
  <c r="J59" i="105" s="1"/>
  <c r="J99" i="105" s="1"/>
  <c r="AG134" i="65"/>
  <c r="AG163" i="65" s="1"/>
  <c r="AG68" i="105" s="1"/>
  <c r="AG125" i="65"/>
  <c r="AG154" i="65" s="1"/>
  <c r="AG59" i="105" s="1"/>
  <c r="AG99" i="105" s="1"/>
  <c r="AG143" i="65"/>
  <c r="AG172" i="65" s="1"/>
  <c r="AG77" i="105" s="1"/>
  <c r="AG42" i="82"/>
  <c r="O44" i="82"/>
  <c r="O127" i="65"/>
  <c r="O156" i="65" s="1"/>
  <c r="O61" i="105" s="1"/>
  <c r="O101" i="105" s="1"/>
  <c r="O136" i="65"/>
  <c r="O165" i="65" s="1"/>
  <c r="O70" i="105" s="1"/>
  <c r="O145" i="65"/>
  <c r="O174" i="65" s="1"/>
  <c r="O79" i="105" s="1"/>
  <c r="K109" i="105"/>
  <c r="M145" i="65"/>
  <c r="M174" i="65" s="1"/>
  <c r="M79" i="105" s="1"/>
  <c r="M44" i="82"/>
  <c r="M127" i="65"/>
  <c r="M156" i="65" s="1"/>
  <c r="M61" i="105" s="1"/>
  <c r="M101" i="105" s="1"/>
  <c r="M136" i="65"/>
  <c r="M165" i="65" s="1"/>
  <c r="M70" i="105" s="1"/>
  <c r="T126" i="65"/>
  <c r="T155" i="65" s="1"/>
  <c r="T60" i="105" s="1"/>
  <c r="T100" i="105" s="1"/>
  <c r="T43" i="82"/>
  <c r="T144" i="65"/>
  <c r="T173" i="65" s="1"/>
  <c r="T78" i="105" s="1"/>
  <c r="T135" i="65"/>
  <c r="T164" i="65" s="1"/>
  <c r="T69" i="105" s="1"/>
  <c r="O80" i="41"/>
  <c r="O24" i="65"/>
  <c r="O114" i="65" s="1"/>
  <c r="AD43" i="82"/>
  <c r="AD126" i="65"/>
  <c r="AD155" i="65" s="1"/>
  <c r="AD60" i="105" s="1"/>
  <c r="AD100" i="105" s="1"/>
  <c r="AD144" i="65"/>
  <c r="AD173" i="65" s="1"/>
  <c r="AD78" i="105" s="1"/>
  <c r="AL199" i="105"/>
  <c r="AL121" i="105"/>
  <c r="Z44" i="82"/>
  <c r="Z127" i="65"/>
  <c r="Z156" i="65" s="1"/>
  <c r="Z61" i="105" s="1"/>
  <c r="Z101" i="105" s="1"/>
  <c r="Z145" i="65"/>
  <c r="Z174" i="65" s="1"/>
  <c r="Z79" i="105" s="1"/>
  <c r="U127" i="65"/>
  <c r="U156" i="65" s="1"/>
  <c r="U61" i="105" s="1"/>
  <c r="U101" i="105" s="1"/>
  <c r="U44" i="82"/>
  <c r="U145" i="65"/>
  <c r="U174" i="65" s="1"/>
  <c r="U79" i="105" s="1"/>
  <c r="U136" i="65"/>
  <c r="U165" i="65" s="1"/>
  <c r="U70" i="105" s="1"/>
  <c r="Q125" i="65"/>
  <c r="Q154" i="65" s="1"/>
  <c r="Q59" i="105" s="1"/>
  <c r="Q99" i="105" s="1"/>
  <c r="Q143" i="65"/>
  <c r="Q172" i="65" s="1"/>
  <c r="Q77" i="105" s="1"/>
  <c r="Q134" i="65"/>
  <c r="Q163" i="65" s="1"/>
  <c r="Q68" i="105" s="1"/>
  <c r="Q42" i="82"/>
  <c r="AE44" i="82"/>
  <c r="AE145" i="65"/>
  <c r="AE174" i="65" s="1"/>
  <c r="AE79" i="105" s="1"/>
  <c r="AE127" i="65"/>
  <c r="AE156" i="65" s="1"/>
  <c r="AE61" i="105" s="1"/>
  <c r="AE101" i="105" s="1"/>
  <c r="K199" i="105"/>
  <c r="S24" i="65"/>
  <c r="S114" i="65" s="1"/>
  <c r="Q198" i="105"/>
  <c r="Q120" i="105"/>
  <c r="AH121" i="105"/>
  <c r="AH199" i="105"/>
  <c r="U126" i="65"/>
  <c r="U155" i="65" s="1"/>
  <c r="U60" i="105" s="1"/>
  <c r="U100" i="105" s="1"/>
  <c r="U43" i="82"/>
  <c r="U135" i="65"/>
  <c r="U164" i="65" s="1"/>
  <c r="U69" i="105" s="1"/>
  <c r="U144" i="65"/>
  <c r="U173" i="65" s="1"/>
  <c r="U78" i="105" s="1"/>
  <c r="V24" i="65"/>
  <c r="V114" i="65" s="1"/>
  <c r="Q187" i="105"/>
  <c r="Q110" i="105"/>
  <c r="AB126" i="65"/>
  <c r="AB155" i="65" s="1"/>
  <c r="AB60" i="105" s="1"/>
  <c r="AB100" i="105" s="1"/>
  <c r="AB43" i="82"/>
  <c r="AB144" i="65"/>
  <c r="AB173" i="65" s="1"/>
  <c r="AB78" i="105" s="1"/>
  <c r="AD44" i="82"/>
  <c r="AD145" i="65"/>
  <c r="AD174" i="65" s="1"/>
  <c r="AD79" i="105" s="1"/>
  <c r="AD127" i="65"/>
  <c r="AD156" i="65" s="1"/>
  <c r="AD61" i="105" s="1"/>
  <c r="AD101" i="105" s="1"/>
  <c r="P145" i="65"/>
  <c r="P174" i="65" s="1"/>
  <c r="P79" i="105" s="1"/>
  <c r="P44" i="82"/>
  <c r="P127" i="65"/>
  <c r="P156" i="65" s="1"/>
  <c r="P61" i="105" s="1"/>
  <c r="P101" i="105" s="1"/>
  <c r="P136" i="65"/>
  <c r="P165" i="65" s="1"/>
  <c r="P70" i="105" s="1"/>
  <c r="K83" i="41" l="1"/>
  <c r="P80" i="41"/>
  <c r="Q199" i="105"/>
  <c r="W44" i="82"/>
  <c r="AF80" i="41"/>
  <c r="AG121" i="105"/>
  <c r="V127" i="65"/>
  <c r="V156" i="65" s="1"/>
  <c r="V61" i="105" s="1"/>
  <c r="V101" i="105" s="1"/>
  <c r="V136" i="65"/>
  <c r="V165" i="65" s="1"/>
  <c r="V70" i="105" s="1"/>
  <c r="V188" i="105" s="1"/>
  <c r="Q188" i="105"/>
  <c r="V145" i="65"/>
  <c r="V174" i="65" s="1"/>
  <c r="V79" i="105" s="1"/>
  <c r="R80" i="41"/>
  <c r="AF44" i="82"/>
  <c r="X80" i="41"/>
  <c r="AF127" i="65"/>
  <c r="AF156" i="65" s="1"/>
  <c r="AF61" i="105" s="1"/>
  <c r="AF101" i="105" s="1"/>
  <c r="AA144" i="65"/>
  <c r="AA173" i="65" s="1"/>
  <c r="AA78" i="105" s="1"/>
  <c r="AH111" i="105"/>
  <c r="J199" i="105"/>
  <c r="AH79" i="41"/>
  <c r="AH83" i="41" s="1"/>
  <c r="AA24" i="65"/>
  <c r="AA114" i="65" s="1"/>
  <c r="K111" i="105"/>
  <c r="R43" i="41"/>
  <c r="AN23" i="65"/>
  <c r="AD24" i="65"/>
  <c r="AD114" i="65" s="1"/>
  <c r="AD143" i="65" s="1"/>
  <c r="AD172" i="65" s="1"/>
  <c r="AD77" i="105" s="1"/>
  <c r="J54" i="55"/>
  <c r="L187" i="105"/>
  <c r="AG79" i="41"/>
  <c r="AG83" i="41" s="1"/>
  <c r="J188" i="105"/>
  <c r="AK79" i="41"/>
  <c r="AK83" i="41" s="1"/>
  <c r="H82" i="41"/>
  <c r="L198" i="105"/>
  <c r="AE24" i="65"/>
  <c r="AE114" i="65" s="1"/>
  <c r="AE143" i="65" s="1"/>
  <c r="AE172" i="65" s="1"/>
  <c r="AE77" i="105" s="1"/>
  <c r="S127" i="65"/>
  <c r="S156" i="65" s="1"/>
  <c r="S61" i="105" s="1"/>
  <c r="S101" i="105" s="1"/>
  <c r="S145" i="65"/>
  <c r="S174" i="65" s="1"/>
  <c r="S79" i="105" s="1"/>
  <c r="S199" i="105" s="1"/>
  <c r="AA43" i="41"/>
  <c r="AA23" i="65" s="1"/>
  <c r="K187" i="105"/>
  <c r="W43" i="41"/>
  <c r="W79" i="41" s="1"/>
  <c r="AJ79" i="41"/>
  <c r="AJ83" i="41" s="1"/>
  <c r="S135" i="65"/>
  <c r="S164" i="65" s="1"/>
  <c r="S69" i="105" s="1"/>
  <c r="S187" i="105" s="1"/>
  <c r="N120" i="105"/>
  <c r="S126" i="65"/>
  <c r="S155" i="65" s="1"/>
  <c r="S60" i="105" s="1"/>
  <c r="S100" i="105" s="1"/>
  <c r="AM79" i="41"/>
  <c r="AM83" i="41" s="1"/>
  <c r="AD43" i="41"/>
  <c r="AD23" i="65" s="1"/>
  <c r="AE43" i="41"/>
  <c r="AE23" i="65" s="1"/>
  <c r="S43" i="82"/>
  <c r="AG111" i="105"/>
  <c r="N135" i="65"/>
  <c r="N164" i="65" s="1"/>
  <c r="N69" i="105" s="1"/>
  <c r="N187" i="105" s="1"/>
  <c r="H77" i="41"/>
  <c r="N43" i="82"/>
  <c r="N126" i="65"/>
  <c r="N155" i="65" s="1"/>
  <c r="N60" i="105" s="1"/>
  <c r="N100" i="105" s="1"/>
  <c r="M110" i="105"/>
  <c r="K119" i="105"/>
  <c r="S43" i="41"/>
  <c r="T43" i="41"/>
  <c r="T23" i="65" s="1"/>
  <c r="U43" i="41"/>
  <c r="U23" i="65" s="1"/>
  <c r="K23" i="65"/>
  <c r="H81" i="41"/>
  <c r="AF43" i="41"/>
  <c r="AF23" i="65" s="1"/>
  <c r="AL79" i="41"/>
  <c r="AL83" i="41" s="1"/>
  <c r="Y43" i="41"/>
  <c r="Y79" i="41" s="1"/>
  <c r="Y83" i="41" s="1"/>
  <c r="AO23" i="65"/>
  <c r="P110" i="105"/>
  <c r="X43" i="41"/>
  <c r="X79" i="41" s="1"/>
  <c r="X83" i="41" s="1"/>
  <c r="AC43" i="41"/>
  <c r="W126" i="65"/>
  <c r="W155" i="65" s="1"/>
  <c r="W60" i="105" s="1"/>
  <c r="W100" i="105" s="1"/>
  <c r="W144" i="65"/>
  <c r="W173" i="65" s="1"/>
  <c r="W78" i="105" s="1"/>
  <c r="W198" i="105" s="1"/>
  <c r="P198" i="105"/>
  <c r="H76" i="41"/>
  <c r="H78" i="41"/>
  <c r="O110" i="105"/>
  <c r="AI23" i="65"/>
  <c r="L44" i="82"/>
  <c r="L127" i="65"/>
  <c r="L156" i="65" s="1"/>
  <c r="L61" i="105" s="1"/>
  <c r="L101" i="105" s="1"/>
  <c r="L136" i="65"/>
  <c r="L165" i="65" s="1"/>
  <c r="L70" i="105" s="1"/>
  <c r="L111" i="105" s="1"/>
  <c r="W23" i="65"/>
  <c r="Z83" i="41"/>
  <c r="H165" i="74" a="1"/>
  <c r="H165" i="74" s="1"/>
  <c r="J56" i="55" s="1"/>
  <c r="W83" i="41"/>
  <c r="M111" i="105"/>
  <c r="M188" i="105"/>
  <c r="O121" i="105"/>
  <c r="O199" i="105"/>
  <c r="T111" i="105"/>
  <c r="T188" i="105"/>
  <c r="R110" i="105"/>
  <c r="R187" i="105"/>
  <c r="M125" i="65"/>
  <c r="M154" i="65" s="1"/>
  <c r="M59" i="105" s="1"/>
  <c r="M99" i="105" s="1"/>
  <c r="M42" i="82"/>
  <c r="M134" i="65"/>
  <c r="M163" i="65" s="1"/>
  <c r="M68" i="105" s="1"/>
  <c r="M143" i="65"/>
  <c r="M172" i="65" s="1"/>
  <c r="M77" i="105" s="1"/>
  <c r="AF125" i="65"/>
  <c r="AF154" i="65" s="1"/>
  <c r="AF59" i="105" s="1"/>
  <c r="AF99" i="105" s="1"/>
  <c r="AF42" i="82"/>
  <c r="AF143" i="65"/>
  <c r="AF172" i="65" s="1"/>
  <c r="AF77" i="105" s="1"/>
  <c r="AA120" i="105"/>
  <c r="AA198" i="105"/>
  <c r="L42" i="82"/>
  <c r="L143" i="65"/>
  <c r="L172" i="65" s="1"/>
  <c r="L77" i="105" s="1"/>
  <c r="L125" i="65"/>
  <c r="L154" i="65" s="1"/>
  <c r="L59" i="105" s="1"/>
  <c r="L99" i="105" s="1"/>
  <c r="L134" i="65"/>
  <c r="L163" i="65" s="1"/>
  <c r="L68" i="105" s="1"/>
  <c r="AD198" i="105"/>
  <c r="AD120" i="105"/>
  <c r="O111" i="105"/>
  <c r="O188" i="105"/>
  <c r="J119" i="105"/>
  <c r="J197" i="105"/>
  <c r="AB42" i="82"/>
  <c r="AB125" i="65"/>
  <c r="AB154" i="65" s="1"/>
  <c r="AB59" i="105" s="1"/>
  <c r="AB99" i="105" s="1"/>
  <c r="AB143" i="65"/>
  <c r="AB172" i="65" s="1"/>
  <c r="AB77" i="105" s="1"/>
  <c r="AF199" i="105"/>
  <c r="AF121" i="105"/>
  <c r="Z198" i="105"/>
  <c r="Z120" i="105"/>
  <c r="X198" i="105"/>
  <c r="X120" i="105"/>
  <c r="P121" i="105"/>
  <c r="P199" i="105"/>
  <c r="Q109" i="105"/>
  <c r="Q186" i="105"/>
  <c r="X121" i="105"/>
  <c r="X199" i="105"/>
  <c r="R198" i="105"/>
  <c r="R120" i="105"/>
  <c r="AA121" i="105"/>
  <c r="AA199" i="105"/>
  <c r="Q197" i="105"/>
  <c r="Q119" i="105"/>
  <c r="M199" i="105"/>
  <c r="M121" i="105"/>
  <c r="J186" i="105"/>
  <c r="J109" i="105"/>
  <c r="H80" i="41"/>
  <c r="L121" i="105"/>
  <c r="L199" i="105"/>
  <c r="Z125" i="65"/>
  <c r="Z154" i="65" s="1"/>
  <c r="Z59" i="105" s="1"/>
  <c r="Z99" i="105" s="1"/>
  <c r="Z42" i="82"/>
  <c r="Z143" i="65"/>
  <c r="Z172" i="65" s="1"/>
  <c r="Z77" i="105" s="1"/>
  <c r="Y120" i="105"/>
  <c r="Y198" i="105"/>
  <c r="AA42" i="82"/>
  <c r="AA125" i="65"/>
  <c r="AA154" i="65" s="1"/>
  <c r="AA59" i="105" s="1"/>
  <c r="AA99" i="105" s="1"/>
  <c r="AA143" i="65"/>
  <c r="AA172" i="65" s="1"/>
  <c r="AA77" i="105" s="1"/>
  <c r="V198" i="105"/>
  <c r="V120" i="105"/>
  <c r="O23" i="65"/>
  <c r="O79" i="41"/>
  <c r="O83" i="41" s="1"/>
  <c r="V121" i="105"/>
  <c r="V199" i="105"/>
  <c r="V187" i="105"/>
  <c r="V110" i="105"/>
  <c r="T120" i="105"/>
  <c r="T198" i="105"/>
  <c r="AD199" i="105"/>
  <c r="AD121" i="105"/>
  <c r="U198" i="105"/>
  <c r="U120" i="105"/>
  <c r="AB79" i="41"/>
  <c r="AB83" i="41" s="1"/>
  <c r="AB23" i="65"/>
  <c r="O42" i="82"/>
  <c r="O125" i="65"/>
  <c r="O154" i="65" s="1"/>
  <c r="O59" i="105" s="1"/>
  <c r="O99" i="105" s="1"/>
  <c r="O143" i="65"/>
  <c r="O172" i="65" s="1"/>
  <c r="O77" i="105" s="1"/>
  <c r="O134" i="65"/>
  <c r="O163" i="65" s="1"/>
  <c r="O68" i="105" s="1"/>
  <c r="P143" i="65"/>
  <c r="P172" i="65" s="1"/>
  <c r="P77" i="105" s="1"/>
  <c r="P42" i="82"/>
  <c r="P125" i="65"/>
  <c r="P154" i="65" s="1"/>
  <c r="P59" i="105" s="1"/>
  <c r="P99" i="105" s="1"/>
  <c r="P134" i="65"/>
  <c r="P163" i="65" s="1"/>
  <c r="P68" i="105" s="1"/>
  <c r="R111" i="105"/>
  <c r="R188" i="105"/>
  <c r="Y199" i="105"/>
  <c r="Y121" i="105"/>
  <c r="AE42" i="82"/>
  <c r="N111" i="105"/>
  <c r="N188" i="105"/>
  <c r="AC143" i="65"/>
  <c r="AC172" i="65" s="1"/>
  <c r="AC77" i="105" s="1"/>
  <c r="AC42" i="82"/>
  <c r="AC125" i="65"/>
  <c r="AC154" i="65" s="1"/>
  <c r="AC59" i="105" s="1"/>
  <c r="AC99" i="105" s="1"/>
  <c r="AD42" i="82"/>
  <c r="M79" i="41"/>
  <c r="M83" i="41" s="1"/>
  <c r="M23" i="65"/>
  <c r="AB198" i="105"/>
  <c r="AB120" i="105"/>
  <c r="Z199" i="105"/>
  <c r="Z121" i="105"/>
  <c r="T110" i="105"/>
  <c r="T187" i="105"/>
  <c r="R121" i="105"/>
  <c r="R199" i="105"/>
  <c r="U187" i="105"/>
  <c r="U110" i="105"/>
  <c r="S42" i="82"/>
  <c r="S125" i="65"/>
  <c r="S154" i="65" s="1"/>
  <c r="S59" i="105" s="1"/>
  <c r="S99" i="105" s="1"/>
  <c r="S134" i="65"/>
  <c r="S163" i="65" s="1"/>
  <c r="S68" i="105" s="1"/>
  <c r="S143" i="65"/>
  <c r="S172" i="65" s="1"/>
  <c r="S77" i="105" s="1"/>
  <c r="AE121" i="105"/>
  <c r="AE199" i="105"/>
  <c r="U188" i="105"/>
  <c r="U111" i="105"/>
  <c r="AG197" i="105"/>
  <c r="AG119" i="105"/>
  <c r="W143" i="65"/>
  <c r="W172" i="65" s="1"/>
  <c r="W77" i="105" s="1"/>
  <c r="W125" i="65"/>
  <c r="W154" i="65" s="1"/>
  <c r="W59" i="105" s="1"/>
  <c r="W99" i="105" s="1"/>
  <c r="W42" i="82"/>
  <c r="T121" i="105"/>
  <c r="T199" i="105"/>
  <c r="V79" i="41"/>
  <c r="V83" i="41" s="1"/>
  <c r="V23" i="65"/>
  <c r="AB121" i="105"/>
  <c r="AB199" i="105"/>
  <c r="L79" i="41"/>
  <c r="L83" i="41" s="1"/>
  <c r="L23" i="65"/>
  <c r="N143" i="65"/>
  <c r="N172" i="65" s="1"/>
  <c r="N77" i="105" s="1"/>
  <c r="N42" i="82"/>
  <c r="N125" i="65"/>
  <c r="N154" i="65" s="1"/>
  <c r="N59" i="105" s="1"/>
  <c r="N99" i="105" s="1"/>
  <c r="N134" i="65"/>
  <c r="N163" i="65" s="1"/>
  <c r="N68" i="105" s="1"/>
  <c r="N79" i="41"/>
  <c r="N83" i="41" s="1"/>
  <c r="N23" i="65"/>
  <c r="V143" i="65"/>
  <c r="V172" i="65" s="1"/>
  <c r="V77" i="105" s="1"/>
  <c r="V125" i="65"/>
  <c r="V154" i="65" s="1"/>
  <c r="V59" i="105" s="1"/>
  <c r="V99" i="105" s="1"/>
  <c r="V134" i="65"/>
  <c r="V163" i="65" s="1"/>
  <c r="V68" i="105" s="1"/>
  <c r="V42" i="82"/>
  <c r="U199" i="105"/>
  <c r="U121" i="105"/>
  <c r="AC198" i="105"/>
  <c r="AC120" i="105"/>
  <c r="S198" i="105"/>
  <c r="S120" i="105"/>
  <c r="S188" i="105"/>
  <c r="S111" i="105"/>
  <c r="N199" i="105"/>
  <c r="N121" i="105"/>
  <c r="R79" i="41"/>
  <c r="R83" i="41" s="1"/>
  <c r="R23" i="65"/>
  <c r="T134" i="65"/>
  <c r="T163" i="65" s="1"/>
  <c r="T68" i="105" s="1"/>
  <c r="T125" i="65"/>
  <c r="T154" i="65" s="1"/>
  <c r="T59" i="105" s="1"/>
  <c r="T99" i="105" s="1"/>
  <c r="T143" i="65"/>
  <c r="T172" i="65" s="1"/>
  <c r="T77" i="105" s="1"/>
  <c r="T42" i="82"/>
  <c r="AE120" i="105"/>
  <c r="AE198" i="105"/>
  <c r="P188" i="105"/>
  <c r="P111" i="105"/>
  <c r="AG109" i="105"/>
  <c r="AG186" i="105"/>
  <c r="AF120" i="105"/>
  <c r="AF198" i="105"/>
  <c r="U125" i="65"/>
  <c r="U154" i="65" s="1"/>
  <c r="U59" i="105" s="1"/>
  <c r="U99" i="105" s="1"/>
  <c r="U134" i="65"/>
  <c r="U163" i="65" s="1"/>
  <c r="U68" i="105" s="1"/>
  <c r="U143" i="65"/>
  <c r="U172" i="65" s="1"/>
  <c r="U77" i="105" s="1"/>
  <c r="U42" i="82"/>
  <c r="Y42" i="82"/>
  <c r="Y125" i="65"/>
  <c r="Y154" i="65" s="1"/>
  <c r="Y59" i="105" s="1"/>
  <c r="Y99" i="105" s="1"/>
  <c r="Y143" i="65"/>
  <c r="Y172" i="65" s="1"/>
  <c r="Y77" i="105" s="1"/>
  <c r="S23" i="65"/>
  <c r="S79" i="41"/>
  <c r="S83" i="41" s="1"/>
  <c r="AC199" i="105"/>
  <c r="AC121" i="105"/>
  <c r="J79" i="41"/>
  <c r="J23" i="65"/>
  <c r="W199" i="105"/>
  <c r="W121" i="105"/>
  <c r="R125" i="65"/>
  <c r="R154" i="65" s="1"/>
  <c r="R59" i="105" s="1"/>
  <c r="R99" i="105" s="1"/>
  <c r="R134" i="65"/>
  <c r="R163" i="65" s="1"/>
  <c r="R68" i="105" s="1"/>
  <c r="R143" i="65"/>
  <c r="R172" i="65" s="1"/>
  <c r="R77" i="105" s="1"/>
  <c r="R42" i="82"/>
  <c r="X143" i="65"/>
  <c r="X172" i="65" s="1"/>
  <c r="X77" i="105" s="1"/>
  <c r="X125" i="65"/>
  <c r="X154" i="65" s="1"/>
  <c r="X59" i="105" s="1"/>
  <c r="X99" i="105" s="1"/>
  <c r="X42" i="82"/>
  <c r="P23" i="65"/>
  <c r="P79" i="41"/>
  <c r="P83" i="41" s="1"/>
  <c r="V111" i="105" l="1"/>
  <c r="AE125" i="65"/>
  <c r="AE154" i="65" s="1"/>
  <c r="AE59" i="105" s="1"/>
  <c r="AE99" i="105" s="1"/>
  <c r="AD125" i="65"/>
  <c r="AD154" i="65" s="1"/>
  <c r="AD59" i="105" s="1"/>
  <c r="AD99" i="105" s="1"/>
  <c r="N110" i="105"/>
  <c r="H101" i="105"/>
  <c r="S110" i="105"/>
  <c r="H110" i="105" s="1"/>
  <c r="U79" i="41"/>
  <c r="U83" i="41" s="1"/>
  <c r="X23" i="65"/>
  <c r="AA79" i="41"/>
  <c r="AA83" i="41" s="1"/>
  <c r="S121" i="105"/>
  <c r="AD79" i="41"/>
  <c r="AD83" i="41" s="1"/>
  <c r="AE79" i="41"/>
  <c r="AE83" i="41" s="1"/>
  <c r="T79" i="41"/>
  <c r="T83" i="41" s="1"/>
  <c r="H100" i="105"/>
  <c r="W120" i="105"/>
  <c r="L188" i="105"/>
  <c r="AF79" i="41"/>
  <c r="AF83" i="41" s="1"/>
  <c r="M223" i="41" a="1"/>
  <c r="M223" i="41" s="1"/>
  <c r="AB223" i="41" a="1"/>
  <c r="AB223" i="41" s="1"/>
  <c r="AB225" i="41" s="1"/>
  <c r="AB227" i="41" s="1"/>
  <c r="AB229" i="41" s="1"/>
  <c r="K223" i="41" a="1"/>
  <c r="K223" i="41" s="1"/>
  <c r="K225" i="41" s="1"/>
  <c r="K416" i="41" s="1"/>
  <c r="K35" i="65" s="1"/>
  <c r="K113" i="65" s="1"/>
  <c r="AF223" i="41" a="1"/>
  <c r="AF223" i="41" s="1"/>
  <c r="X223" i="41" a="1"/>
  <c r="X223" i="41" s="1"/>
  <c r="AH223" i="41" a="1"/>
  <c r="AH223" i="41" s="1"/>
  <c r="AH225" i="41" s="1"/>
  <c r="AH416" i="41" s="1"/>
  <c r="AH35" i="65" s="1"/>
  <c r="AH113" i="65" s="1"/>
  <c r="AE223" i="41" a="1"/>
  <c r="AE223" i="41" s="1"/>
  <c r="AI223" i="41" a="1"/>
  <c r="AI223" i="41" s="1"/>
  <c r="AI225" i="41" s="1"/>
  <c r="AI227" i="41" s="1"/>
  <c r="AI229" i="41" s="1"/>
  <c r="AI238" i="41" s="1"/>
  <c r="Y23" i="65"/>
  <c r="AG223" i="41" a="1"/>
  <c r="AG223" i="41" s="1"/>
  <c r="AG225" i="41" s="1"/>
  <c r="AG416" i="41" s="1"/>
  <c r="AG35" i="65" s="1"/>
  <c r="AG113" i="65" s="1"/>
  <c r="U223" i="41" a="1"/>
  <c r="U223" i="41" s="1"/>
  <c r="AC223" i="41" a="1"/>
  <c r="AC223" i="41" s="1"/>
  <c r="O223" i="41" a="1"/>
  <c r="O223" i="41" s="1"/>
  <c r="AN223" i="41" a="1"/>
  <c r="AN223" i="41" s="1"/>
  <c r="AN225" i="41" s="1"/>
  <c r="AN227" i="41" s="1"/>
  <c r="AN229" i="41" s="1"/>
  <c r="Y223" i="41" a="1"/>
  <c r="Y223" i="41" s="1"/>
  <c r="N223" i="41" a="1"/>
  <c r="N223" i="41" s="1"/>
  <c r="AJ223" i="41" a="1"/>
  <c r="AJ223" i="41" s="1"/>
  <c r="AJ225" i="41" s="1"/>
  <c r="AJ227" i="41" s="1"/>
  <c r="AJ229" i="41" s="1"/>
  <c r="L223" i="41" a="1"/>
  <c r="L223" i="41" s="1"/>
  <c r="L225" i="41" s="1"/>
  <c r="L416" i="41" s="1"/>
  <c r="L35" i="65" s="1"/>
  <c r="L113" i="65" s="1"/>
  <c r="AM223" i="41" a="1"/>
  <c r="AM223" i="41" s="1"/>
  <c r="AM225" i="41" s="1"/>
  <c r="AM416" i="41" s="1"/>
  <c r="AM35" i="65" s="1"/>
  <c r="AM113" i="65" s="1"/>
  <c r="AM124" i="65" s="1"/>
  <c r="AM153" i="65" s="1"/>
  <c r="AM58" i="105" s="1"/>
  <c r="AM98" i="105" s="1"/>
  <c r="Q223" i="41" a="1"/>
  <c r="Q223" i="41" s="1"/>
  <c r="Q225" i="41" s="1"/>
  <c r="Q227" i="41" s="1"/>
  <c r="Q229" i="41" s="1"/>
  <c r="AL223" i="41" a="1"/>
  <c r="AL223" i="41" s="1"/>
  <c r="AL225" i="41" s="1"/>
  <c r="AL227" i="41" s="1"/>
  <c r="AL229" i="41" s="1"/>
  <c r="T223" i="41" a="1"/>
  <c r="T223" i="41" s="1"/>
  <c r="AC23" i="65"/>
  <c r="P223" i="41" a="1"/>
  <c r="P223" i="41" s="1"/>
  <c r="AK223" i="41" a="1"/>
  <c r="AK223" i="41" s="1"/>
  <c r="AK225" i="41" s="1"/>
  <c r="AK227" i="41" s="1"/>
  <c r="AK229" i="41" s="1"/>
  <c r="W223" i="41" a="1"/>
  <c r="W223" i="41" s="1"/>
  <c r="W225" i="41" s="1"/>
  <c r="W227" i="41" s="1"/>
  <c r="W229" i="41" s="1"/>
  <c r="AA223" i="41" a="1"/>
  <c r="AA223" i="41" s="1"/>
  <c r="R223" i="41" a="1"/>
  <c r="R223" i="41" s="1"/>
  <c r="R225" i="41" s="1"/>
  <c r="R227" i="41" s="1"/>
  <c r="R229" i="41" s="1"/>
  <c r="AC79" i="41"/>
  <c r="AC83" i="41" s="1"/>
  <c r="V223" i="41" a="1"/>
  <c r="V223" i="41" s="1"/>
  <c r="S223" i="41" a="1"/>
  <c r="S223" i="41" s="1"/>
  <c r="J223" i="41" a="1"/>
  <c r="J223" i="41" s="1"/>
  <c r="AD223" i="41" a="1"/>
  <c r="AD223" i="41" s="1"/>
  <c r="Z223" i="41" a="1"/>
  <c r="Z223" i="41" s="1"/>
  <c r="AO223" i="41" a="1"/>
  <c r="AO223" i="41" s="1"/>
  <c r="AO225" i="41" s="1"/>
  <c r="AO416" i="41" s="1"/>
  <c r="AO35" i="65" s="1"/>
  <c r="AO113" i="65" s="1"/>
  <c r="AO124" i="65" s="1"/>
  <c r="AO153" i="65" s="1"/>
  <c r="AO58" i="105" s="1"/>
  <c r="AO98" i="105" s="1"/>
  <c r="A4" i="74"/>
  <c r="H120" i="105"/>
  <c r="T197" i="105"/>
  <c r="T119" i="105"/>
  <c r="O197" i="105"/>
  <c r="O119" i="105"/>
  <c r="M119" i="105"/>
  <c r="M197" i="105"/>
  <c r="AE197" i="105"/>
  <c r="AE119" i="105"/>
  <c r="P197" i="105"/>
  <c r="P119" i="105"/>
  <c r="M109" i="105"/>
  <c r="M186" i="105"/>
  <c r="T186" i="105"/>
  <c r="T109" i="105"/>
  <c r="AJ416" i="41"/>
  <c r="AJ35" i="65" s="1"/>
  <c r="AJ113" i="65" s="1"/>
  <c r="V109" i="105"/>
  <c r="V186" i="105"/>
  <c r="H121" i="105"/>
  <c r="AD197" i="105"/>
  <c r="AD119" i="105"/>
  <c r="J83" i="41"/>
  <c r="U197" i="105"/>
  <c r="U119" i="105"/>
  <c r="AC119" i="105"/>
  <c r="AC197" i="105"/>
  <c r="Z197" i="105"/>
  <c r="Z119" i="105"/>
  <c r="AB119" i="105"/>
  <c r="AB197" i="105"/>
  <c r="R109" i="105"/>
  <c r="R186" i="105"/>
  <c r="Y119" i="105"/>
  <c r="Y197" i="105"/>
  <c r="N119" i="105"/>
  <c r="N197" i="105"/>
  <c r="X197" i="105"/>
  <c r="X119" i="105"/>
  <c r="U109" i="105"/>
  <c r="U186" i="105"/>
  <c r="V197" i="105"/>
  <c r="V119" i="105"/>
  <c r="N186" i="105"/>
  <c r="N109" i="105"/>
  <c r="S119" i="105"/>
  <c r="S197" i="105"/>
  <c r="L109" i="105"/>
  <c r="L186" i="105"/>
  <c r="AF197" i="105"/>
  <c r="AF119" i="105"/>
  <c r="W119" i="105"/>
  <c r="W197" i="105"/>
  <c r="S109" i="105"/>
  <c r="S186" i="105"/>
  <c r="P109" i="105"/>
  <c r="P186" i="105"/>
  <c r="H99" i="105"/>
  <c r="R197" i="105"/>
  <c r="R119" i="105"/>
  <c r="O109" i="105"/>
  <c r="O186" i="105"/>
  <c r="AA119" i="105"/>
  <c r="AA197" i="105"/>
  <c r="H111" i="105"/>
  <c r="L119" i="105"/>
  <c r="L197" i="105"/>
  <c r="AN416" i="41" l="1"/>
  <c r="AN35" i="65" s="1"/>
  <c r="AN113" i="65" s="1"/>
  <c r="AH227" i="41"/>
  <c r="AH229" i="41" s="1"/>
  <c r="R416" i="41"/>
  <c r="R35" i="65" s="1"/>
  <c r="R113" i="65" s="1"/>
  <c r="AK416" i="41"/>
  <c r="AK35" i="65" s="1"/>
  <c r="AK113" i="65" s="1"/>
  <c r="AK124" i="65" s="1"/>
  <c r="AK153" i="65" s="1"/>
  <c r="AK58" i="105" s="1"/>
  <c r="AK98" i="105" s="1"/>
  <c r="K227" i="41"/>
  <c r="K229" i="41" s="1"/>
  <c r="Q416" i="41"/>
  <c r="Q35" i="65" s="1"/>
  <c r="Q113" i="65" s="1"/>
  <c r="Q142" i="65" s="1"/>
  <c r="Q171" i="65" s="1"/>
  <c r="Q76" i="105" s="1"/>
  <c r="W416" i="41"/>
  <c r="W35" i="65" s="1"/>
  <c r="W113" i="65" s="1"/>
  <c r="W124" i="65" s="1"/>
  <c r="W153" i="65" s="1"/>
  <c r="W58" i="105" s="1"/>
  <c r="W98" i="105" s="1"/>
  <c r="AB416" i="41"/>
  <c r="AB35" i="65" s="1"/>
  <c r="AB113" i="65" s="1"/>
  <c r="AB124" i="65" s="1"/>
  <c r="AB153" i="65" s="1"/>
  <c r="AB58" i="105" s="1"/>
  <c r="AB98" i="105" s="1"/>
  <c r="L227" i="41"/>
  <c r="L229" i="41" s="1"/>
  <c r="L238" i="41" s="1"/>
  <c r="AG227" i="41"/>
  <c r="AG229" i="41" s="1"/>
  <c r="AI425" i="41"/>
  <c r="AI416" i="41"/>
  <c r="AI35" i="65" s="1"/>
  <c r="AI113" i="65" s="1"/>
  <c r="AI124" i="65" s="1"/>
  <c r="AI153" i="65" s="1"/>
  <c r="AI58" i="105" s="1"/>
  <c r="AI98" i="105" s="1"/>
  <c r="AO227" i="41"/>
  <c r="AO229" i="41" s="1"/>
  <c r="AM227" i="41"/>
  <c r="AM229" i="41" s="1"/>
  <c r="AM425" i="41" s="1"/>
  <c r="H83" i="41"/>
  <c r="H85" i="41" s="1"/>
  <c r="H79" i="41"/>
  <c r="AL416" i="41"/>
  <c r="AL35" i="65" s="1"/>
  <c r="AL113" i="65" s="1"/>
  <c r="AL124" i="65" s="1"/>
  <c r="AL153" i="65" s="1"/>
  <c r="AL58" i="105" s="1"/>
  <c r="AL98" i="105" s="1"/>
  <c r="H119" i="105"/>
  <c r="AN425" i="41"/>
  <c r="AN238" i="41"/>
  <c r="AB425" i="41"/>
  <c r="AB238" i="41"/>
  <c r="AN124" i="65"/>
  <c r="AN153" i="65" s="1"/>
  <c r="AN58" i="105" s="1"/>
  <c r="AN98" i="105" s="1"/>
  <c r="AN142" i="65"/>
  <c r="AN171" i="65" s="1"/>
  <c r="AN76" i="105" s="1"/>
  <c r="AL41" i="82"/>
  <c r="R238" i="41"/>
  <c r="R425" i="41"/>
  <c r="AL238" i="41"/>
  <c r="AL425" i="41"/>
  <c r="AJ41" i="82"/>
  <c r="AJ142" i="65"/>
  <c r="AJ171" i="65" s="1"/>
  <c r="AJ76" i="105" s="1"/>
  <c r="AJ133" i="65"/>
  <c r="AJ162" i="65" s="1"/>
  <c r="AJ67" i="105" s="1"/>
  <c r="AJ124" i="65"/>
  <c r="AJ153" i="65" s="1"/>
  <c r="AJ58" i="105" s="1"/>
  <c r="AJ98" i="105" s="1"/>
  <c r="AH238" i="41"/>
  <c r="AH425" i="41"/>
  <c r="AG133" i="65"/>
  <c r="AG162" i="65" s="1"/>
  <c r="AG67" i="105" s="1"/>
  <c r="AG124" i="65"/>
  <c r="AG153" i="65" s="1"/>
  <c r="AG58" i="105" s="1"/>
  <c r="AG98" i="105" s="1"/>
  <c r="AG142" i="65"/>
  <c r="AG171" i="65" s="1"/>
  <c r="AG76" i="105" s="1"/>
  <c r="AG41" i="82"/>
  <c r="R41" i="82"/>
  <c r="R133" i="65"/>
  <c r="R162" i="65" s="1"/>
  <c r="R67" i="105" s="1"/>
  <c r="R124" i="65"/>
  <c r="R153" i="65" s="1"/>
  <c r="R58" i="105" s="1"/>
  <c r="R98" i="105" s="1"/>
  <c r="R142" i="65"/>
  <c r="R171" i="65" s="1"/>
  <c r="R76" i="105" s="1"/>
  <c r="L142" i="65"/>
  <c r="L171" i="65" s="1"/>
  <c r="L76" i="105" s="1"/>
  <c r="L41" i="82"/>
  <c r="L133" i="65"/>
  <c r="L162" i="65" s="1"/>
  <c r="L67" i="105" s="1"/>
  <c r="L124" i="65"/>
  <c r="L153" i="65" s="1"/>
  <c r="L58" i="105" s="1"/>
  <c r="L98" i="105" s="1"/>
  <c r="Q124" i="65"/>
  <c r="Q153" i="65" s="1"/>
  <c r="Q58" i="105" s="1"/>
  <c r="Q98" i="105" s="1"/>
  <c r="AJ425" i="41"/>
  <c r="AJ238" i="41"/>
  <c r="AH41" i="82"/>
  <c r="AH142" i="65"/>
  <c r="AH171" i="65" s="1"/>
  <c r="AH76" i="105" s="1"/>
  <c r="AH124" i="65"/>
  <c r="AH153" i="65" s="1"/>
  <c r="AH58" i="105" s="1"/>
  <c r="AH98" i="105" s="1"/>
  <c r="AH133" i="65"/>
  <c r="AH162" i="65" s="1"/>
  <c r="AH67" i="105" s="1"/>
  <c r="H109" i="105"/>
  <c r="AG294" i="41"/>
  <c r="AG296" i="41" s="1"/>
  <c r="AG425" i="41"/>
  <c r="AG238" i="41"/>
  <c r="W238" i="41"/>
  <c r="W425" i="41"/>
  <c r="Q425" i="41"/>
  <c r="Q238" i="41"/>
  <c r="AI268" i="41"/>
  <c r="AI405" i="41"/>
  <c r="AI414" i="41" s="1"/>
  <c r="AI33" i="65" s="1"/>
  <c r="AI111" i="65" s="1"/>
  <c r="AI273" i="41"/>
  <c r="AI270" i="41"/>
  <c r="AI269" i="41"/>
  <c r="AI404" i="41"/>
  <c r="AI413" i="41" s="1"/>
  <c r="AI32" i="65" s="1"/>
  <c r="AI110" i="65" s="1"/>
  <c r="AI274" i="41"/>
  <c r="AI406" i="41"/>
  <c r="AI415" i="41" s="1"/>
  <c r="AI34" i="65" s="1"/>
  <c r="AI112" i="65" s="1"/>
  <c r="AI250" i="41"/>
  <c r="AI252" i="41"/>
  <c r="AI275" i="41"/>
  <c r="AI251" i="41"/>
  <c r="K425" i="41"/>
  <c r="K238" i="41"/>
  <c r="K142" i="65"/>
  <c r="K171" i="65" s="1"/>
  <c r="K76" i="105" s="1"/>
  <c r="K41" i="82"/>
  <c r="K133" i="65"/>
  <c r="K162" i="65" s="1"/>
  <c r="K67" i="105" s="1"/>
  <c r="K124" i="65"/>
  <c r="K153" i="65" s="1"/>
  <c r="K58" i="105" s="1"/>
  <c r="K98" i="105" s="1"/>
  <c r="AK238" i="41"/>
  <c r="AK425" i="41"/>
  <c r="L425" i="41" l="1"/>
  <c r="Q133" i="65"/>
  <c r="Q162" i="65" s="1"/>
  <c r="Q67" i="105" s="1"/>
  <c r="Q41" i="82"/>
  <c r="AB41" i="82"/>
  <c r="AB142" i="65"/>
  <c r="AB171" i="65" s="1"/>
  <c r="AB76" i="105" s="1"/>
  <c r="H85" i="105"/>
  <c r="H128" i="105" s="1"/>
  <c r="AI142" i="65"/>
  <c r="AI171" i="65" s="1"/>
  <c r="AI76" i="105" s="1"/>
  <c r="AI196" i="105" s="1"/>
  <c r="AI41" i="82"/>
  <c r="W41" i="82"/>
  <c r="W142" i="65"/>
  <c r="W171" i="65" s="1"/>
  <c r="W76" i="105" s="1"/>
  <c r="AM238" i="41"/>
  <c r="AM268" i="41" s="1"/>
  <c r="AJ294" i="41"/>
  <c r="AJ296" i="41" s="1"/>
  <c r="L294" i="41"/>
  <c r="L296" i="41" s="1"/>
  <c r="Q294" i="41"/>
  <c r="Q296" i="41" s="1"/>
  <c r="W294" i="41"/>
  <c r="W296" i="41" s="1"/>
  <c r="AM294" i="41"/>
  <c r="AM296" i="41" s="1"/>
  <c r="AI294" i="41"/>
  <c r="AI296" i="41" s="1"/>
  <c r="AB294" i="41"/>
  <c r="AB296" i="41" s="1"/>
  <c r="AH294" i="41"/>
  <c r="AH296" i="41" s="1"/>
  <c r="R294" i="41"/>
  <c r="R296" i="41" s="1"/>
  <c r="K294" i="41"/>
  <c r="K296" i="41" s="1"/>
  <c r="AO294" i="41"/>
  <c r="AO296" i="41" s="1"/>
  <c r="AN294" i="41"/>
  <c r="AN296" i="41" s="1"/>
  <c r="AO425" i="41"/>
  <c r="AK294" i="41"/>
  <c r="AK296" i="41" s="1"/>
  <c r="AL294" i="41"/>
  <c r="AL296" i="41" s="1"/>
  <c r="AO238" i="41"/>
  <c r="AO268" i="41" s="1"/>
  <c r="AK41" i="82"/>
  <c r="AL142" i="65"/>
  <c r="AL171" i="65" s="1"/>
  <c r="AL76" i="105" s="1"/>
  <c r="AK274" i="41"/>
  <c r="AK251" i="41"/>
  <c r="AK252" i="41"/>
  <c r="AK250" i="41"/>
  <c r="AK404" i="41"/>
  <c r="AK413" i="41" s="1"/>
  <c r="AK32" i="65" s="1"/>
  <c r="AK110" i="65" s="1"/>
  <c r="AK121" i="65" s="1"/>
  <c r="AK150" i="65" s="1"/>
  <c r="AK55" i="105" s="1"/>
  <c r="AK95" i="105" s="1"/>
  <c r="AK269" i="41"/>
  <c r="AK273" i="41"/>
  <c r="AK270" i="41"/>
  <c r="AK406" i="41"/>
  <c r="AK415" i="41" s="1"/>
  <c r="AK34" i="65" s="1"/>
  <c r="AK112" i="65" s="1"/>
  <c r="AK123" i="65" s="1"/>
  <c r="AK152" i="65" s="1"/>
  <c r="AK57" i="105" s="1"/>
  <c r="AK97" i="105" s="1"/>
  <c r="AK275" i="41"/>
  <c r="AK268" i="41"/>
  <c r="AK405" i="41"/>
  <c r="AK414" i="41" s="1"/>
  <c r="AK33" i="65" s="1"/>
  <c r="AK111" i="65" s="1"/>
  <c r="AK122" i="65" s="1"/>
  <c r="AK151" i="65" s="1"/>
  <c r="AK56" i="105" s="1"/>
  <c r="AK96" i="105" s="1"/>
  <c r="K185" i="105"/>
  <c r="K108" i="105"/>
  <c r="AI38" i="82"/>
  <c r="AI139" i="65"/>
  <c r="AI168" i="65" s="1"/>
  <c r="AI73" i="105" s="1"/>
  <c r="AI121" i="65"/>
  <c r="AI150" i="65" s="1"/>
  <c r="AI55" i="105" s="1"/>
  <c r="AI95" i="105" s="1"/>
  <c r="R108" i="105"/>
  <c r="R185" i="105"/>
  <c r="AL404" i="41"/>
  <c r="AL413" i="41" s="1"/>
  <c r="AL32" i="65" s="1"/>
  <c r="AL110" i="65" s="1"/>
  <c r="AL275" i="41"/>
  <c r="AL274" i="41"/>
  <c r="AL252" i="41"/>
  <c r="AL250" i="41"/>
  <c r="AL270" i="41"/>
  <c r="AL406" i="41"/>
  <c r="AL415" i="41" s="1"/>
  <c r="AL34" i="65" s="1"/>
  <c r="AL112" i="65" s="1"/>
  <c r="AL268" i="41"/>
  <c r="AL273" i="41"/>
  <c r="AL405" i="41"/>
  <c r="AL414" i="41" s="1"/>
  <c r="AL33" i="65" s="1"/>
  <c r="AL111" i="65" s="1"/>
  <c r="AL269" i="41"/>
  <c r="AL251" i="41"/>
  <c r="AL118" i="105"/>
  <c r="AL196" i="105"/>
  <c r="K404" i="41"/>
  <c r="K413" i="41" s="1"/>
  <c r="K32" i="65" s="1"/>
  <c r="K110" i="65" s="1"/>
  <c r="K252" i="41"/>
  <c r="K273" i="41"/>
  <c r="K251" i="41"/>
  <c r="K250" i="41"/>
  <c r="K269" i="41"/>
  <c r="K405" i="41"/>
  <c r="K414" i="41" s="1"/>
  <c r="K33" i="65" s="1"/>
  <c r="K111" i="65" s="1"/>
  <c r="K268" i="41"/>
  <c r="K274" i="41"/>
  <c r="K275" i="41"/>
  <c r="K406" i="41"/>
  <c r="K415" i="41" s="1"/>
  <c r="K34" i="65" s="1"/>
  <c r="K112" i="65" s="1"/>
  <c r="K270" i="41"/>
  <c r="Q196" i="105"/>
  <c r="Q118" i="105"/>
  <c r="AG196" i="105"/>
  <c r="AG118" i="105"/>
  <c r="AB196" i="105"/>
  <c r="AB118" i="105"/>
  <c r="AB252" i="41"/>
  <c r="AB270" i="41"/>
  <c r="AB406" i="41"/>
  <c r="AB415" i="41" s="1"/>
  <c r="AB34" i="65" s="1"/>
  <c r="AB112" i="65" s="1"/>
  <c r="AB404" i="41"/>
  <c r="AB413" i="41" s="1"/>
  <c r="AB32" i="65" s="1"/>
  <c r="AB110" i="65" s="1"/>
  <c r="AB251" i="41"/>
  <c r="AB275" i="41"/>
  <c r="AB273" i="41"/>
  <c r="AB405" i="41"/>
  <c r="AB414" i="41" s="1"/>
  <c r="AB33" i="65" s="1"/>
  <c r="AB111" i="65" s="1"/>
  <c r="AB250" i="41"/>
  <c r="AB269" i="41"/>
  <c r="AB274" i="41"/>
  <c r="AB268" i="41"/>
  <c r="K118" i="105"/>
  <c r="K196" i="105"/>
  <c r="Q406" i="41"/>
  <c r="Q415" i="41" s="1"/>
  <c r="Q34" i="65" s="1"/>
  <c r="Q112" i="65" s="1"/>
  <c r="Q270" i="41"/>
  <c r="Q274" i="41"/>
  <c r="Q251" i="41"/>
  <c r="Q404" i="41"/>
  <c r="Q413" i="41" s="1"/>
  <c r="Q32" i="65" s="1"/>
  <c r="Q110" i="65" s="1"/>
  <c r="Q405" i="41"/>
  <c r="Q414" i="41" s="1"/>
  <c r="Q33" i="65" s="1"/>
  <c r="Q111" i="65" s="1"/>
  <c r="Q273" i="41"/>
  <c r="Q250" i="41"/>
  <c r="Q268" i="41"/>
  <c r="Q269" i="41"/>
  <c r="Q252" i="41"/>
  <c r="Q275" i="41"/>
  <c r="AG406" i="41"/>
  <c r="AG270" i="41"/>
  <c r="AG250" i="41"/>
  <c r="AG404" i="41"/>
  <c r="AG251" i="41"/>
  <c r="AG275" i="41"/>
  <c r="AG280" i="41" s="1"/>
  <c r="AG285" i="41" s="1"/>
  <c r="AG363" i="41" s="1"/>
  <c r="AG365" i="41" s="1"/>
  <c r="AG367" i="41" s="1"/>
  <c r="AG369" i="41" s="1"/>
  <c r="AG394" i="41" s="1"/>
  <c r="AG252" i="41"/>
  <c r="AG269" i="41"/>
  <c r="AG405" i="41"/>
  <c r="AG274" i="41"/>
  <c r="AG279" i="41" s="1"/>
  <c r="AG284" i="41" s="1"/>
  <c r="AG273" i="41"/>
  <c r="AG278" i="41" s="1"/>
  <c r="AG283" i="41" s="1"/>
  <c r="AG268" i="41"/>
  <c r="AH185" i="105"/>
  <c r="AH108" i="105"/>
  <c r="AE191" i="41"/>
  <c r="AE197" i="41" s="1"/>
  <c r="AE199" i="41" s="1"/>
  <c r="AK191" i="41"/>
  <c r="AN191" i="41"/>
  <c r="O191" i="41"/>
  <c r="O197" i="41" s="1"/>
  <c r="O199" i="41" s="1"/>
  <c r="Q191" i="41"/>
  <c r="AD191" i="41"/>
  <c r="AD197" i="41" s="1"/>
  <c r="AD199" i="41" s="1"/>
  <c r="AI191" i="41"/>
  <c r="S191" i="41"/>
  <c r="S197" i="41" s="1"/>
  <c r="S199" i="41" s="1"/>
  <c r="AB191" i="41"/>
  <c r="V191" i="41"/>
  <c r="V197" i="41" s="1"/>
  <c r="V199" i="41" s="1"/>
  <c r="Y191" i="41"/>
  <c r="Y197" i="41" s="1"/>
  <c r="Y199" i="41" s="1"/>
  <c r="M191" i="41"/>
  <c r="M197" i="41" s="1"/>
  <c r="M199" i="41" s="1"/>
  <c r="L191" i="41"/>
  <c r="P191" i="41"/>
  <c r="P197" i="41" s="1"/>
  <c r="P199" i="41" s="1"/>
  <c r="X191" i="41"/>
  <c r="X197" i="41" s="1"/>
  <c r="X199" i="41" s="1"/>
  <c r="AG191" i="41"/>
  <c r="AG206" i="41" s="1"/>
  <c r="AG208" i="41" s="1"/>
  <c r="U191" i="41"/>
  <c r="U197" i="41" s="1"/>
  <c r="U199" i="41" s="1"/>
  <c r="AO191" i="41"/>
  <c r="AC191" i="41"/>
  <c r="AC197" i="41" s="1"/>
  <c r="AC199" i="41" s="1"/>
  <c r="T191" i="41"/>
  <c r="T197" i="41" s="1"/>
  <c r="T199" i="41" s="1"/>
  <c r="AM191" i="41"/>
  <c r="AL191" i="41"/>
  <c r="N191" i="41"/>
  <c r="N197" i="41" s="1"/>
  <c r="N199" i="41" s="1"/>
  <c r="H88" i="105"/>
  <c r="H131" i="105" s="1"/>
  <c r="K191" i="41"/>
  <c r="J191" i="41"/>
  <c r="J197" i="41" s="1"/>
  <c r="J199" i="41" s="1"/>
  <c r="AH191" i="41"/>
  <c r="R191" i="41"/>
  <c r="W191" i="41"/>
  <c r="AA191" i="41"/>
  <c r="AA197" i="41" s="1"/>
  <c r="AA199" i="41" s="1"/>
  <c r="Z191" i="41"/>
  <c r="Z197" i="41" s="1"/>
  <c r="Z199" i="41" s="1"/>
  <c r="AJ191" i="41"/>
  <c r="AF191" i="41"/>
  <c r="AF197" i="41" s="1"/>
  <c r="AF199" i="41" s="1"/>
  <c r="AN274" i="41"/>
  <c r="AN251" i="41"/>
  <c r="AN406" i="41"/>
  <c r="AN415" i="41" s="1"/>
  <c r="AN34" i="65" s="1"/>
  <c r="AN112" i="65" s="1"/>
  <c r="AN269" i="41"/>
  <c r="AN250" i="41"/>
  <c r="AN404" i="41"/>
  <c r="AN413" i="41" s="1"/>
  <c r="AN32" i="65" s="1"/>
  <c r="AN110" i="65" s="1"/>
  <c r="AN268" i="41"/>
  <c r="AN273" i="41"/>
  <c r="AN275" i="41"/>
  <c r="AN405" i="41"/>
  <c r="AN414" i="41" s="1"/>
  <c r="AN33" i="65" s="1"/>
  <c r="AN111" i="65" s="1"/>
  <c r="AN270" i="41"/>
  <c r="AN252" i="41"/>
  <c r="L185" i="105"/>
  <c r="L108" i="105"/>
  <c r="AG185" i="105"/>
  <c r="AG108" i="105"/>
  <c r="AH406" i="41"/>
  <c r="AH415" i="41" s="1"/>
  <c r="AH34" i="65" s="1"/>
  <c r="AH112" i="65" s="1"/>
  <c r="AH275" i="41"/>
  <c r="AH252" i="41"/>
  <c r="AH405" i="41"/>
  <c r="AH414" i="41" s="1"/>
  <c r="AH33" i="65" s="1"/>
  <c r="AH111" i="65" s="1"/>
  <c r="AH269" i="41"/>
  <c r="AH270" i="41"/>
  <c r="AH251" i="41"/>
  <c r="AH274" i="41"/>
  <c r="AH273" i="41"/>
  <c r="AH268" i="41"/>
  <c r="AH250" i="41"/>
  <c r="AH404" i="41"/>
  <c r="AH413" i="41" s="1"/>
  <c r="AH32" i="65" s="1"/>
  <c r="AH110" i="65" s="1"/>
  <c r="AI140" i="65"/>
  <c r="AI169" i="65" s="1"/>
  <c r="AI74" i="105" s="1"/>
  <c r="AI39" i="82"/>
  <c r="AI122" i="65"/>
  <c r="AI151" i="65" s="1"/>
  <c r="AI56" i="105" s="1"/>
  <c r="AI96" i="105" s="1"/>
  <c r="AH196" i="105"/>
  <c r="AH118" i="105"/>
  <c r="L273" i="41"/>
  <c r="L251" i="41"/>
  <c r="L406" i="41"/>
  <c r="L415" i="41" s="1"/>
  <c r="L34" i="65" s="1"/>
  <c r="L112" i="65" s="1"/>
  <c r="L404" i="41"/>
  <c r="L413" i="41" s="1"/>
  <c r="L32" i="65" s="1"/>
  <c r="L110" i="65" s="1"/>
  <c r="L275" i="41"/>
  <c r="L274" i="41"/>
  <c r="L250" i="41"/>
  <c r="L252" i="41"/>
  <c r="L405" i="41"/>
  <c r="L414" i="41" s="1"/>
  <c r="L33" i="65" s="1"/>
  <c r="L111" i="65" s="1"/>
  <c r="L270" i="41"/>
  <c r="L269" i="41"/>
  <c r="L268" i="41"/>
  <c r="W268" i="41"/>
  <c r="W406" i="41"/>
  <c r="W415" i="41" s="1"/>
  <c r="W34" i="65" s="1"/>
  <c r="W112" i="65" s="1"/>
  <c r="W250" i="41"/>
  <c r="W251" i="41"/>
  <c r="W270" i="41"/>
  <c r="W273" i="41"/>
  <c r="W274" i="41"/>
  <c r="W275" i="41"/>
  <c r="W405" i="41"/>
  <c r="W414" i="41" s="1"/>
  <c r="W33" i="65" s="1"/>
  <c r="W111" i="65" s="1"/>
  <c r="W269" i="41"/>
  <c r="W404" i="41"/>
  <c r="W413" i="41" s="1"/>
  <c r="W32" i="65" s="1"/>
  <c r="W110" i="65" s="1"/>
  <c r="W252" i="41"/>
  <c r="L118" i="105"/>
  <c r="L196" i="105"/>
  <c r="AJ108" i="105"/>
  <c r="AJ185" i="105"/>
  <c r="AI141" i="65"/>
  <c r="AI170" i="65" s="1"/>
  <c r="AI75" i="105" s="1"/>
  <c r="AI123" i="65"/>
  <c r="AI152" i="65" s="1"/>
  <c r="AI57" i="105" s="1"/>
  <c r="AI97" i="105" s="1"/>
  <c r="AI40" i="82"/>
  <c r="AJ268" i="41"/>
  <c r="AJ405" i="41"/>
  <c r="AJ414" i="41" s="1"/>
  <c r="AJ33" i="65" s="1"/>
  <c r="AJ111" i="65" s="1"/>
  <c r="AJ250" i="41"/>
  <c r="AJ252" i="41"/>
  <c r="AJ274" i="41"/>
  <c r="AJ275" i="41"/>
  <c r="AJ404" i="41"/>
  <c r="AJ413" i="41" s="1"/>
  <c r="AJ32" i="65" s="1"/>
  <c r="AJ110" i="65" s="1"/>
  <c r="AJ273" i="41"/>
  <c r="AJ270" i="41"/>
  <c r="AJ251" i="41"/>
  <c r="AJ406" i="41"/>
  <c r="AJ415" i="41" s="1"/>
  <c r="AJ34" i="65" s="1"/>
  <c r="AJ112" i="65" s="1"/>
  <c r="AJ269" i="41"/>
  <c r="R196" i="105"/>
  <c r="R118" i="105"/>
  <c r="AJ196" i="105"/>
  <c r="AJ118" i="105"/>
  <c r="R252" i="41"/>
  <c r="R274" i="41"/>
  <c r="R275" i="41"/>
  <c r="R406" i="41"/>
  <c r="R415" i="41" s="1"/>
  <c r="R34" i="65" s="1"/>
  <c r="R112" i="65" s="1"/>
  <c r="R273" i="41"/>
  <c r="R269" i="41"/>
  <c r="R250" i="41"/>
  <c r="R270" i="41"/>
  <c r="R405" i="41"/>
  <c r="R414" i="41" s="1"/>
  <c r="R33" i="65" s="1"/>
  <c r="R111" i="65" s="1"/>
  <c r="R404" i="41"/>
  <c r="R413" i="41" s="1"/>
  <c r="R32" i="65" s="1"/>
  <c r="R110" i="65" s="1"/>
  <c r="R251" i="41"/>
  <c r="R268" i="41"/>
  <c r="W118" i="105"/>
  <c r="W196" i="105"/>
  <c r="Q108" i="105"/>
  <c r="Q185" i="105"/>
  <c r="AN196" i="105"/>
  <c r="AN118" i="105"/>
  <c r="AM405" i="41" l="1"/>
  <c r="AM414" i="41" s="1"/>
  <c r="AM33" i="65" s="1"/>
  <c r="AM111" i="65" s="1"/>
  <c r="AM122" i="65" s="1"/>
  <c r="AM151" i="65" s="1"/>
  <c r="AM56" i="105" s="1"/>
  <c r="AM96" i="105" s="1"/>
  <c r="AO269" i="41"/>
  <c r="AM404" i="41"/>
  <c r="AM413" i="41" s="1"/>
  <c r="AM32" i="65" s="1"/>
  <c r="AM110" i="65" s="1"/>
  <c r="AM121" i="65" s="1"/>
  <c r="AM150" i="65" s="1"/>
  <c r="AM55" i="105" s="1"/>
  <c r="AM95" i="105" s="1"/>
  <c r="AO250" i="41"/>
  <c r="AM406" i="41"/>
  <c r="AM415" i="41" s="1"/>
  <c r="AM34" i="65" s="1"/>
  <c r="AM112" i="65" s="1"/>
  <c r="AM123" i="65" s="1"/>
  <c r="AM152" i="65" s="1"/>
  <c r="AM57" i="105" s="1"/>
  <c r="AM97" i="105" s="1"/>
  <c r="AO275" i="41"/>
  <c r="AM274" i="41"/>
  <c r="AM275" i="41"/>
  <c r="AB280" i="41" s="1"/>
  <c r="AB285" i="41" s="1"/>
  <c r="AB363" i="41" s="1"/>
  <c r="AO251" i="41"/>
  <c r="AM273" i="41"/>
  <c r="AO270" i="41"/>
  <c r="AM252" i="41"/>
  <c r="AM251" i="41"/>
  <c r="AM250" i="41"/>
  <c r="AO273" i="41"/>
  <c r="K278" i="41" s="1"/>
  <c r="K283" i="41" s="1"/>
  <c r="AM270" i="41"/>
  <c r="AI118" i="105"/>
  <c r="AM269" i="41"/>
  <c r="AO274" i="41"/>
  <c r="AO252" i="41"/>
  <c r="AO404" i="41"/>
  <c r="AO413" i="41" s="1"/>
  <c r="AO32" i="65" s="1"/>
  <c r="AO110" i="65" s="1"/>
  <c r="AO121" i="65" s="1"/>
  <c r="AO150" i="65" s="1"/>
  <c r="AO55" i="105" s="1"/>
  <c r="AO95" i="105" s="1"/>
  <c r="AO406" i="41"/>
  <c r="AO415" i="41" s="1"/>
  <c r="AO34" i="65" s="1"/>
  <c r="AO112" i="65" s="1"/>
  <c r="AO123" i="65" s="1"/>
  <c r="AO152" i="65" s="1"/>
  <c r="AO57" i="105" s="1"/>
  <c r="AO97" i="105" s="1"/>
  <c r="AO405" i="41"/>
  <c r="AO414" i="41" s="1"/>
  <c r="AO33" i="65" s="1"/>
  <c r="AO111" i="65" s="1"/>
  <c r="AO122" i="65" s="1"/>
  <c r="AO151" i="65" s="1"/>
  <c r="AO56" i="105" s="1"/>
  <c r="AO96" i="105" s="1"/>
  <c r="AG331" i="41"/>
  <c r="AG333" i="41" s="1"/>
  <c r="AG335" i="41" s="1"/>
  <c r="AG337" i="41" s="1"/>
  <c r="AG393" i="41" s="1"/>
  <c r="AK102" i="105"/>
  <c r="L121" i="65"/>
  <c r="L150" i="65" s="1"/>
  <c r="L55" i="105" s="1"/>
  <c r="L95" i="105" s="1"/>
  <c r="L38" i="82"/>
  <c r="L130" i="65"/>
  <c r="L159" i="65" s="1"/>
  <c r="L64" i="105" s="1"/>
  <c r="L139" i="65"/>
  <c r="L168" i="65" s="1"/>
  <c r="L73" i="105" s="1"/>
  <c r="AN121" i="65"/>
  <c r="AN150" i="65" s="1"/>
  <c r="AN55" i="105" s="1"/>
  <c r="AN95" i="105" s="1"/>
  <c r="AN139" i="65"/>
  <c r="AN168" i="65" s="1"/>
  <c r="AN73" i="105" s="1"/>
  <c r="AL38" i="82"/>
  <c r="Z225" i="41"/>
  <c r="Z416" i="41" s="1"/>
  <c r="Z35" i="65" s="1"/>
  <c r="Z113" i="65" s="1"/>
  <c r="N225" i="41"/>
  <c r="N416" i="41" s="1"/>
  <c r="N35" i="65" s="1"/>
  <c r="N113" i="65" s="1"/>
  <c r="X225" i="41"/>
  <c r="X416" i="41" s="1"/>
  <c r="X35" i="65" s="1"/>
  <c r="X113" i="65" s="1"/>
  <c r="Q40" i="82"/>
  <c r="Q123" i="65"/>
  <c r="Q152" i="65" s="1"/>
  <c r="Q57" i="105" s="1"/>
  <c r="Q97" i="105" s="1"/>
  <c r="Q132" i="65"/>
  <c r="Q161" i="65" s="1"/>
  <c r="Q66" i="105" s="1"/>
  <c r="Q141" i="65"/>
  <c r="Q170" i="65" s="1"/>
  <c r="Q75" i="105" s="1"/>
  <c r="AI115" i="105"/>
  <c r="AI193" i="105"/>
  <c r="R132" i="65"/>
  <c r="R161" i="65" s="1"/>
  <c r="R66" i="105" s="1"/>
  <c r="R123" i="65"/>
  <c r="R152" i="65" s="1"/>
  <c r="R57" i="105" s="1"/>
  <c r="R97" i="105" s="1"/>
  <c r="R40" i="82"/>
  <c r="R141" i="65"/>
  <c r="R170" i="65" s="1"/>
  <c r="R75" i="105" s="1"/>
  <c r="L132" i="65"/>
  <c r="L161" i="65" s="1"/>
  <c r="L66" i="105" s="1"/>
  <c r="L141" i="65"/>
  <c r="L170" i="65" s="1"/>
  <c r="L75" i="105" s="1"/>
  <c r="L123" i="65"/>
  <c r="L152" i="65" s="1"/>
  <c r="L57" i="105" s="1"/>
  <c r="L97" i="105" s="1"/>
  <c r="L40" i="82"/>
  <c r="AA225" i="41"/>
  <c r="AA416" i="41" s="1"/>
  <c r="AA35" i="65" s="1"/>
  <c r="AA113" i="65" s="1"/>
  <c r="P225" i="41"/>
  <c r="P416" i="41" s="1"/>
  <c r="P35" i="65" s="1"/>
  <c r="P113" i="65" s="1"/>
  <c r="AD225" i="41"/>
  <c r="AD416" i="41" s="1"/>
  <c r="AD35" i="65" s="1"/>
  <c r="AD113" i="65" s="1"/>
  <c r="AG413" i="41"/>
  <c r="AG32" i="65" s="1"/>
  <c r="AG110" i="65" s="1"/>
  <c r="K122" i="65"/>
  <c r="K151" i="65" s="1"/>
  <c r="K56" i="105" s="1"/>
  <c r="K96" i="105" s="1"/>
  <c r="K140" i="65"/>
  <c r="K169" i="65" s="1"/>
  <c r="K74" i="105" s="1"/>
  <c r="K39" i="82"/>
  <c r="K131" i="65"/>
  <c r="K160" i="65" s="1"/>
  <c r="K65" i="105" s="1"/>
  <c r="AL123" i="65"/>
  <c r="AL152" i="65" s="1"/>
  <c r="AL57" i="105" s="1"/>
  <c r="AL97" i="105" s="1"/>
  <c r="AK40" i="82"/>
  <c r="AL141" i="65"/>
  <c r="AL170" i="65" s="1"/>
  <c r="AL75" i="105" s="1"/>
  <c r="AJ40" i="82"/>
  <c r="AJ132" i="65"/>
  <c r="AJ161" i="65" s="1"/>
  <c r="AJ66" i="105" s="1"/>
  <c r="AJ141" i="65"/>
  <c r="AJ170" i="65" s="1"/>
  <c r="AJ75" i="105" s="1"/>
  <c r="AJ123" i="65"/>
  <c r="AJ152" i="65" s="1"/>
  <c r="AJ57" i="105" s="1"/>
  <c r="AJ97" i="105" s="1"/>
  <c r="AH121" i="65"/>
  <c r="AH150" i="65" s="1"/>
  <c r="AH55" i="105" s="1"/>
  <c r="AH95" i="105" s="1"/>
  <c r="AH139" i="65"/>
  <c r="AH168" i="65" s="1"/>
  <c r="AH73" i="105" s="1"/>
  <c r="AH130" i="65"/>
  <c r="AH159" i="65" s="1"/>
  <c r="AH64" i="105" s="1"/>
  <c r="AH38" i="82"/>
  <c r="AH122" i="65"/>
  <c r="AH151" i="65" s="1"/>
  <c r="AH56" i="105" s="1"/>
  <c r="AH96" i="105" s="1"/>
  <c r="AH140" i="65"/>
  <c r="AH169" i="65" s="1"/>
  <c r="AH74" i="105" s="1"/>
  <c r="AH131" i="65"/>
  <c r="AH160" i="65" s="1"/>
  <c r="AH65" i="105" s="1"/>
  <c r="AH39" i="82"/>
  <c r="AG299" i="41"/>
  <c r="R139" i="65"/>
  <c r="R168" i="65" s="1"/>
  <c r="R73" i="105" s="1"/>
  <c r="R121" i="65"/>
  <c r="R150" i="65" s="1"/>
  <c r="R55" i="105" s="1"/>
  <c r="R95" i="105" s="1"/>
  <c r="R38" i="82"/>
  <c r="R130" i="65"/>
  <c r="R159" i="65" s="1"/>
  <c r="R64" i="105" s="1"/>
  <c r="AJ122" i="65"/>
  <c r="AJ151" i="65" s="1"/>
  <c r="AJ56" i="105" s="1"/>
  <c r="AJ96" i="105" s="1"/>
  <c r="AJ131" i="65"/>
  <c r="AJ160" i="65" s="1"/>
  <c r="AJ65" i="105" s="1"/>
  <c r="AJ140" i="65"/>
  <c r="AJ169" i="65" s="1"/>
  <c r="AJ74" i="105" s="1"/>
  <c r="AJ39" i="82"/>
  <c r="L122" i="65"/>
  <c r="L151" i="65" s="1"/>
  <c r="L56" i="105" s="1"/>
  <c r="L96" i="105" s="1"/>
  <c r="L131" i="65"/>
  <c r="L160" i="65" s="1"/>
  <c r="L65" i="105" s="1"/>
  <c r="L140" i="65"/>
  <c r="L169" i="65" s="1"/>
  <c r="L74" i="105" s="1"/>
  <c r="L39" i="82"/>
  <c r="AN123" i="65"/>
  <c r="AN152" i="65" s="1"/>
  <c r="AN57" i="105" s="1"/>
  <c r="AN97" i="105" s="1"/>
  <c r="AL40" i="82"/>
  <c r="AN141" i="65"/>
  <c r="AN170" i="65" s="1"/>
  <c r="AN75" i="105" s="1"/>
  <c r="T225" i="41"/>
  <c r="T416" i="41" s="1"/>
  <c r="T35" i="65" s="1"/>
  <c r="T113" i="65" s="1"/>
  <c r="M225" i="41"/>
  <c r="M416" i="41" s="1"/>
  <c r="M35" i="65" s="1"/>
  <c r="M113" i="65" s="1"/>
  <c r="O225" i="41"/>
  <c r="O416" i="41" s="1"/>
  <c r="O35" i="65" s="1"/>
  <c r="O113" i="65" s="1"/>
  <c r="Q122" i="65"/>
  <c r="Q151" i="65" s="1"/>
  <c r="Q56" i="105" s="1"/>
  <c r="Q96" i="105" s="1"/>
  <c r="Q39" i="82"/>
  <c r="Q131" i="65"/>
  <c r="Q160" i="65" s="1"/>
  <c r="Q65" i="105" s="1"/>
  <c r="Q140" i="65"/>
  <c r="Q169" i="65" s="1"/>
  <c r="Q74" i="105" s="1"/>
  <c r="AB139" i="65"/>
  <c r="AB168" i="65" s="1"/>
  <c r="AB73" i="105" s="1"/>
  <c r="AB121" i="65"/>
  <c r="AB150" i="65" s="1"/>
  <c r="AB55" i="105" s="1"/>
  <c r="AB95" i="105" s="1"/>
  <c r="AB38" i="82"/>
  <c r="R39" i="82"/>
  <c r="R140" i="65"/>
  <c r="R169" i="65" s="1"/>
  <c r="R74" i="105" s="1"/>
  <c r="R122" i="65"/>
  <c r="R151" i="65" s="1"/>
  <c r="R56" i="105" s="1"/>
  <c r="R96" i="105" s="1"/>
  <c r="R131" i="65"/>
  <c r="R160" i="65" s="1"/>
  <c r="R65" i="105" s="1"/>
  <c r="AN140" i="65"/>
  <c r="AN169" i="65" s="1"/>
  <c r="AN74" i="105" s="1"/>
  <c r="AL39" i="82"/>
  <c r="AN122" i="65"/>
  <c r="AN151" i="65" s="1"/>
  <c r="AN56" i="105" s="1"/>
  <c r="AN96" i="105" s="1"/>
  <c r="AC225" i="41"/>
  <c r="AC416" i="41" s="1"/>
  <c r="AC35" i="65" s="1"/>
  <c r="AC113" i="65" s="1"/>
  <c r="Y225" i="41"/>
  <c r="Y416" i="41" s="1"/>
  <c r="Y35" i="65" s="1"/>
  <c r="Y113" i="65" s="1"/>
  <c r="AG414" i="41"/>
  <c r="AG33" i="65" s="1"/>
  <c r="AG111" i="65" s="1"/>
  <c r="AG415" i="41"/>
  <c r="AG34" i="65" s="1"/>
  <c r="AG112" i="65" s="1"/>
  <c r="Q121" i="65"/>
  <c r="Q150" i="65" s="1"/>
  <c r="Q55" i="105" s="1"/>
  <c r="Q95" i="105" s="1"/>
  <c r="Q38" i="82"/>
  <c r="Q139" i="65"/>
  <c r="Q168" i="65" s="1"/>
  <c r="Q73" i="105" s="1"/>
  <c r="Q130" i="65"/>
  <c r="Q159" i="65" s="1"/>
  <c r="Q64" i="105" s="1"/>
  <c r="AB123" i="65"/>
  <c r="AB152" i="65" s="1"/>
  <c r="AB57" i="105" s="1"/>
  <c r="AB97" i="105" s="1"/>
  <c r="AB141" i="65"/>
  <c r="AB170" i="65" s="1"/>
  <c r="AB75" i="105" s="1"/>
  <c r="AB40" i="82"/>
  <c r="W38" i="82"/>
  <c r="W121" i="65"/>
  <c r="W150" i="65" s="1"/>
  <c r="W55" i="105" s="1"/>
  <c r="W95" i="105" s="1"/>
  <c r="W139" i="65"/>
  <c r="W168" i="65" s="1"/>
  <c r="W73" i="105" s="1"/>
  <c r="AI194" i="105"/>
  <c r="AI116" i="105"/>
  <c r="AM102" i="105"/>
  <c r="AH141" i="65"/>
  <c r="AH170" i="65" s="1"/>
  <c r="AH75" i="105" s="1"/>
  <c r="AH40" i="82"/>
  <c r="AH132" i="65"/>
  <c r="AH161" i="65" s="1"/>
  <c r="AH66" i="105" s="1"/>
  <c r="AH123" i="65"/>
  <c r="AH152" i="65" s="1"/>
  <c r="AH57" i="105" s="1"/>
  <c r="AH97" i="105" s="1"/>
  <c r="J225" i="41"/>
  <c r="J416" i="41" s="1"/>
  <c r="J35" i="65" s="1"/>
  <c r="J113" i="65" s="1"/>
  <c r="V225" i="41"/>
  <c r="V416" i="41" s="1"/>
  <c r="V35" i="65" s="1"/>
  <c r="V113" i="65" s="1"/>
  <c r="K40" i="82"/>
  <c r="K123" i="65"/>
  <c r="K152" i="65" s="1"/>
  <c r="K57" i="105" s="1"/>
  <c r="K97" i="105" s="1"/>
  <c r="K141" i="65"/>
  <c r="K170" i="65" s="1"/>
  <c r="K75" i="105" s="1"/>
  <c r="K132" i="65"/>
  <c r="K161" i="65" s="1"/>
  <c r="K66" i="105" s="1"/>
  <c r="AK278" i="41"/>
  <c r="AK283" i="41" s="1"/>
  <c r="AN278" i="41"/>
  <c r="AN283" i="41" s="1"/>
  <c r="AB278" i="41"/>
  <c r="AB283" i="41" s="1"/>
  <c r="AO278" i="41"/>
  <c r="AO283" i="41" s="1"/>
  <c r="AJ139" i="65"/>
  <c r="AJ168" i="65" s="1"/>
  <c r="AJ73" i="105" s="1"/>
  <c r="AJ130" i="65"/>
  <c r="AJ159" i="65" s="1"/>
  <c r="AJ64" i="105" s="1"/>
  <c r="AJ121" i="65"/>
  <c r="AJ150" i="65" s="1"/>
  <c r="AJ55" i="105" s="1"/>
  <c r="AJ95" i="105" s="1"/>
  <c r="AJ38" i="82"/>
  <c r="W40" i="82"/>
  <c r="W141" i="65"/>
  <c r="W170" i="65" s="1"/>
  <c r="W75" i="105" s="1"/>
  <c r="W123" i="65"/>
  <c r="W152" i="65" s="1"/>
  <c r="W57" i="105" s="1"/>
  <c r="W97" i="105" s="1"/>
  <c r="AF225" i="41"/>
  <c r="AF416" i="41" s="1"/>
  <c r="AF35" i="65" s="1"/>
  <c r="AF113" i="65" s="1"/>
  <c r="U225" i="41"/>
  <c r="U416" i="41" s="1"/>
  <c r="U35" i="65" s="1"/>
  <c r="U113" i="65" s="1"/>
  <c r="AE225" i="41"/>
  <c r="AE416" i="41" s="1"/>
  <c r="AE35" i="65" s="1"/>
  <c r="AE113" i="65" s="1"/>
  <c r="AL140" i="65"/>
  <c r="AL169" i="65" s="1"/>
  <c r="AL74" i="105" s="1"/>
  <c r="AL122" i="65"/>
  <c r="AL151" i="65" s="1"/>
  <c r="AL56" i="105" s="1"/>
  <c r="AL96" i="105" s="1"/>
  <c r="AK39" i="82"/>
  <c r="AI117" i="105"/>
  <c r="AI195" i="105"/>
  <c r="W122" i="65"/>
  <c r="W151" i="65" s="1"/>
  <c r="W56" i="105" s="1"/>
  <c r="W96" i="105" s="1"/>
  <c r="W140" i="65"/>
  <c r="W169" i="65" s="1"/>
  <c r="W74" i="105" s="1"/>
  <c r="W39" i="82"/>
  <c r="S225" i="41"/>
  <c r="S416" i="41" s="1"/>
  <c r="S35" i="65" s="1"/>
  <c r="S113" i="65" s="1"/>
  <c r="AB122" i="65"/>
  <c r="AB151" i="65" s="1"/>
  <c r="AB56" i="105" s="1"/>
  <c r="AB96" i="105" s="1"/>
  <c r="AB39" i="82"/>
  <c r="AB140" i="65"/>
  <c r="AB169" i="65" s="1"/>
  <c r="AB74" i="105" s="1"/>
  <c r="K279" i="41"/>
  <c r="K284" i="41" s="1"/>
  <c r="Q279" i="41"/>
  <c r="Q284" i="41" s="1"/>
  <c r="AK279" i="41"/>
  <c r="AK284" i="41" s="1"/>
  <c r="K38" i="82"/>
  <c r="K139" i="65"/>
  <c r="K168" i="65" s="1"/>
  <c r="K73" i="105" s="1"/>
  <c r="K130" i="65"/>
  <c r="K159" i="65" s="1"/>
  <c r="K64" i="105" s="1"/>
  <c r="K121" i="65"/>
  <c r="K150" i="65" s="1"/>
  <c r="K55" i="105" s="1"/>
  <c r="K95" i="105" s="1"/>
  <c r="AL121" i="65"/>
  <c r="AL150" i="65" s="1"/>
  <c r="AL55" i="105" s="1"/>
  <c r="AL95" i="105" s="1"/>
  <c r="AK38" i="82"/>
  <c r="AL139" i="65"/>
  <c r="AL168" i="65" s="1"/>
  <c r="AL73" i="105" s="1"/>
  <c r="AI102" i="105"/>
  <c r="R279" i="41" l="1"/>
  <c r="R284" i="41" s="1"/>
  <c r="AM280" i="41"/>
  <c r="AM285" i="41" s="1"/>
  <c r="AM363" i="41" s="1"/>
  <c r="AJ278" i="41"/>
  <c r="AJ283" i="41" s="1"/>
  <c r="AH278" i="41"/>
  <c r="AH283" i="41" s="1"/>
  <c r="Q280" i="41"/>
  <c r="Q285" i="41" s="1"/>
  <c r="Q363" i="41" s="1"/>
  <c r="L278" i="41"/>
  <c r="L283" i="41" s="1"/>
  <c r="AL278" i="41"/>
  <c r="AL283" i="41" s="1"/>
  <c r="AI279" i="41"/>
  <c r="AI284" i="41" s="1"/>
  <c r="AJ280" i="41"/>
  <c r="AJ285" i="41" s="1"/>
  <c r="AJ363" i="41" s="1"/>
  <c r="AN279" i="41"/>
  <c r="AN284" i="41" s="1"/>
  <c r="W278" i="41"/>
  <c r="W283" i="41" s="1"/>
  <c r="AO279" i="41"/>
  <c r="AO284" i="41" s="1"/>
  <c r="L279" i="41"/>
  <c r="L284" i="41" s="1"/>
  <c r="AI278" i="41"/>
  <c r="AI283" i="41" s="1"/>
  <c r="Q278" i="41"/>
  <c r="Q283" i="41" s="1"/>
  <c r="R278" i="41"/>
  <c r="R283" i="41" s="1"/>
  <c r="AO280" i="41"/>
  <c r="AO285" i="41" s="1"/>
  <c r="AO363" i="41" s="1"/>
  <c r="AM279" i="41"/>
  <c r="AM284" i="41" s="1"/>
  <c r="AN280" i="41"/>
  <c r="AN285" i="41" s="1"/>
  <c r="AN363" i="41" s="1"/>
  <c r="AJ279" i="41"/>
  <c r="AJ284" i="41" s="1"/>
  <c r="AI280" i="41"/>
  <c r="AI285" i="41" s="1"/>
  <c r="AI363" i="41" s="1"/>
  <c r="AB279" i="41"/>
  <c r="AB284" i="41" s="1"/>
  <c r="AB299" i="41" s="1"/>
  <c r="AB305" i="41" s="1"/>
  <c r="AB392" i="41" s="1"/>
  <c r="AB396" i="41" s="1"/>
  <c r="W279" i="41"/>
  <c r="W284" i="41" s="1"/>
  <c r="AK280" i="41"/>
  <c r="AK285" i="41" s="1"/>
  <c r="AK363" i="41" s="1"/>
  <c r="AL280" i="41"/>
  <c r="AL285" i="41" s="1"/>
  <c r="AL363" i="41" s="1"/>
  <c r="AM278" i="41"/>
  <c r="AM283" i="41" s="1"/>
  <c r="W280" i="41"/>
  <c r="W285" i="41" s="1"/>
  <c r="W363" i="41" s="1"/>
  <c r="L280" i="41"/>
  <c r="L285" i="41" s="1"/>
  <c r="L363" i="41" s="1"/>
  <c r="AL279" i="41"/>
  <c r="AL284" i="41" s="1"/>
  <c r="K280" i="41"/>
  <c r="K285" i="41" s="1"/>
  <c r="K363" i="41" s="1"/>
  <c r="AH279" i="41"/>
  <c r="AH284" i="41" s="1"/>
  <c r="AH280" i="41"/>
  <c r="AH285" i="41" s="1"/>
  <c r="AH363" i="41" s="1"/>
  <c r="R280" i="41"/>
  <c r="R285" i="41" s="1"/>
  <c r="R363" i="41" s="1"/>
  <c r="AO102" i="105"/>
  <c r="AM140" i="105"/>
  <c r="AM207" i="105" s="1"/>
  <c r="AM146" i="105"/>
  <c r="AK146" i="105"/>
  <c r="AK140" i="105"/>
  <c r="AM331" i="41"/>
  <c r="AN331" i="41"/>
  <c r="K102" i="105"/>
  <c r="V227" i="41"/>
  <c r="V229" i="41" s="1"/>
  <c r="V425" i="41" s="1"/>
  <c r="Y227" i="41"/>
  <c r="Y229" i="41" s="1"/>
  <c r="Y238" i="41" s="1"/>
  <c r="R102" i="105"/>
  <c r="Q331" i="41"/>
  <c r="AD227" i="41"/>
  <c r="AD229" i="41" s="1"/>
  <c r="AD238" i="41" s="1"/>
  <c r="AJ102" i="105"/>
  <c r="W102" i="105"/>
  <c r="AC227" i="41"/>
  <c r="AC229" i="41" s="1"/>
  <c r="AC238" i="41" s="1"/>
  <c r="T227" i="41"/>
  <c r="T229" i="41" s="1"/>
  <c r="AA227" i="41"/>
  <c r="AA229" i="41" s="1"/>
  <c r="AA425" i="41" s="1"/>
  <c r="S133" i="65"/>
  <c r="S162" i="65" s="1"/>
  <c r="S67" i="105" s="1"/>
  <c r="S124" i="65"/>
  <c r="S153" i="65" s="1"/>
  <c r="S58" i="105" s="1"/>
  <c r="S98" i="105" s="1"/>
  <c r="S142" i="65"/>
  <c r="S171" i="65" s="1"/>
  <c r="S76" i="105" s="1"/>
  <c r="S41" i="82"/>
  <c r="U41" i="82"/>
  <c r="U133" i="65"/>
  <c r="U162" i="65" s="1"/>
  <c r="U67" i="105" s="1"/>
  <c r="U124" i="65"/>
  <c r="U153" i="65" s="1"/>
  <c r="U58" i="105" s="1"/>
  <c r="U98" i="105" s="1"/>
  <c r="U142" i="65"/>
  <c r="U171" i="65" s="1"/>
  <c r="U76" i="105" s="1"/>
  <c r="Q106" i="105"/>
  <c r="Q183" i="105"/>
  <c r="AH102" i="105"/>
  <c r="L184" i="105"/>
  <c r="L107" i="105"/>
  <c r="L193" i="105"/>
  <c r="L115" i="105"/>
  <c r="K182" i="105"/>
  <c r="K105" i="105"/>
  <c r="AF227" i="41"/>
  <c r="AF229" i="41" s="1"/>
  <c r="AM299" i="41"/>
  <c r="AM305" i="41" s="1"/>
  <c r="AM392" i="41" s="1"/>
  <c r="AM396" i="41" s="1"/>
  <c r="AH107" i="105"/>
  <c r="AH184" i="105"/>
  <c r="W193" i="105"/>
  <c r="W115" i="105"/>
  <c r="Q193" i="105"/>
  <c r="Q115" i="105"/>
  <c r="AC41" i="82"/>
  <c r="AC142" i="65"/>
  <c r="AC171" i="65" s="1"/>
  <c r="AC76" i="105" s="1"/>
  <c r="AC124" i="65"/>
  <c r="AC153" i="65" s="1"/>
  <c r="AC58" i="105" s="1"/>
  <c r="AC98" i="105" s="1"/>
  <c r="AN195" i="105"/>
  <c r="AN117" i="105"/>
  <c r="R193" i="105"/>
  <c r="R115" i="105"/>
  <c r="P227" i="41"/>
  <c r="P229" i="41" s="1"/>
  <c r="Q195" i="105"/>
  <c r="Q117" i="105"/>
  <c r="Z227" i="41"/>
  <c r="Z229" i="41" s="1"/>
  <c r="L105" i="105"/>
  <c r="L182" i="105"/>
  <c r="AN299" i="41"/>
  <c r="AN305" i="41" s="1"/>
  <c r="AN392" i="41" s="1"/>
  <c r="AN396" i="41" s="1"/>
  <c r="Q105" i="105"/>
  <c r="Q182" i="105"/>
  <c r="K183" i="105"/>
  <c r="K106" i="105"/>
  <c r="K115" i="105"/>
  <c r="K193" i="105"/>
  <c r="AF124" i="65"/>
  <c r="AF153" i="65" s="1"/>
  <c r="AF58" i="105" s="1"/>
  <c r="AF98" i="105" s="1"/>
  <c r="AF41" i="82"/>
  <c r="AF142" i="65"/>
  <c r="AF171" i="65" s="1"/>
  <c r="AF76" i="105" s="1"/>
  <c r="R116" i="105"/>
  <c r="R194" i="105"/>
  <c r="AH106" i="105"/>
  <c r="AH183" i="105"/>
  <c r="K194" i="105"/>
  <c r="K116" i="105"/>
  <c r="P133" i="65"/>
  <c r="P162" i="65" s="1"/>
  <c r="P67" i="105" s="1"/>
  <c r="P41" i="82"/>
  <c r="P142" i="65"/>
  <c r="P171" i="65" s="1"/>
  <c r="P76" i="105" s="1"/>
  <c r="P124" i="65"/>
  <c r="P153" i="65" s="1"/>
  <c r="P58" i="105" s="1"/>
  <c r="P98" i="105" s="1"/>
  <c r="Q107" i="105"/>
  <c r="Q184" i="105"/>
  <c r="Z124" i="65"/>
  <c r="Z153" i="65" s="1"/>
  <c r="Z58" i="105" s="1"/>
  <c r="Z98" i="105" s="1"/>
  <c r="Z142" i="65"/>
  <c r="Z171" i="65" s="1"/>
  <c r="Z76" i="105" s="1"/>
  <c r="Z41" i="82"/>
  <c r="R106" i="105"/>
  <c r="R183" i="105"/>
  <c r="T425" i="41"/>
  <c r="AH195" i="105"/>
  <c r="AH117" i="105"/>
  <c r="Q102" i="105"/>
  <c r="O41" i="82"/>
  <c r="O142" i="65"/>
  <c r="O171" i="65" s="1"/>
  <c r="O76" i="105" s="1"/>
  <c r="O133" i="65"/>
  <c r="O162" i="65" s="1"/>
  <c r="O67" i="105" s="1"/>
  <c r="O124" i="65"/>
  <c r="O153" i="65" s="1"/>
  <c r="O58" i="105" s="1"/>
  <c r="O98" i="105" s="1"/>
  <c r="AJ116" i="105"/>
  <c r="AJ194" i="105"/>
  <c r="AH116" i="105"/>
  <c r="AH194" i="105"/>
  <c r="R195" i="105"/>
  <c r="R117" i="105"/>
  <c r="AI200" i="105"/>
  <c r="L102" i="105"/>
  <c r="AG305" i="41"/>
  <c r="AG392" i="41" s="1"/>
  <c r="AG301" i="41"/>
  <c r="AG303" i="41" s="1"/>
  <c r="N41" i="82"/>
  <c r="N124" i="65"/>
  <c r="N153" i="65" s="1"/>
  <c r="N58" i="105" s="1"/>
  <c r="N98" i="105" s="1"/>
  <c r="N133" i="65"/>
  <c r="N162" i="65" s="1"/>
  <c r="N67" i="105" s="1"/>
  <c r="N142" i="65"/>
  <c r="N171" i="65" s="1"/>
  <c r="N76" i="105" s="1"/>
  <c r="AI140" i="105"/>
  <c r="AI146" i="105"/>
  <c r="AI69" i="82" s="1"/>
  <c r="AB116" i="105"/>
  <c r="AB194" i="105"/>
  <c r="W116" i="105"/>
  <c r="W194" i="105"/>
  <c r="AL116" i="105"/>
  <c r="AL194" i="105"/>
  <c r="AJ182" i="105"/>
  <c r="AJ105" i="105"/>
  <c r="V133" i="65"/>
  <c r="V162" i="65" s="1"/>
  <c r="V67" i="105" s="1"/>
  <c r="V124" i="65"/>
  <c r="V153" i="65" s="1"/>
  <c r="V58" i="105" s="1"/>
  <c r="V98" i="105" s="1"/>
  <c r="V142" i="65"/>
  <c r="V171" i="65" s="1"/>
  <c r="V76" i="105" s="1"/>
  <c r="V41" i="82"/>
  <c r="AG123" i="65"/>
  <c r="AG152" i="65" s="1"/>
  <c r="AG57" i="105" s="1"/>
  <c r="AG97" i="105" s="1"/>
  <c r="AG40" i="82"/>
  <c r="AG132" i="65"/>
  <c r="AG161" i="65" s="1"/>
  <c r="AG66" i="105" s="1"/>
  <c r="AG141" i="65"/>
  <c r="AG170" i="65" s="1"/>
  <c r="AG75" i="105" s="1"/>
  <c r="AN194" i="105"/>
  <c r="AN116" i="105"/>
  <c r="O227" i="41"/>
  <c r="O229" i="41" s="1"/>
  <c r="AJ106" i="105"/>
  <c r="AJ183" i="105"/>
  <c r="AA41" i="82"/>
  <c r="AA124" i="65"/>
  <c r="AA153" i="65" s="1"/>
  <c r="AA58" i="105" s="1"/>
  <c r="AA98" i="105" s="1"/>
  <c r="AA142" i="65"/>
  <c r="AA171" i="65" s="1"/>
  <c r="AA76" i="105" s="1"/>
  <c r="AI122" i="105"/>
  <c r="AN193" i="105"/>
  <c r="AN115" i="105"/>
  <c r="AL193" i="105"/>
  <c r="AL115" i="105"/>
  <c r="AE227" i="41"/>
  <c r="AE229" i="41" s="1"/>
  <c r="AJ115" i="105"/>
  <c r="AJ193" i="105"/>
  <c r="W299" i="41"/>
  <c r="W305" i="41" s="1"/>
  <c r="W392" i="41" s="1"/>
  <c r="W396" i="41" s="1"/>
  <c r="AG131" i="65"/>
  <c r="AG160" i="65" s="1"/>
  <c r="AG65" i="105" s="1"/>
  <c r="AG140" i="65"/>
  <c r="AG169" i="65" s="1"/>
  <c r="AG74" i="105" s="1"/>
  <c r="AG122" i="65"/>
  <c r="AG151" i="65" s="1"/>
  <c r="AG56" i="105" s="1"/>
  <c r="AG96" i="105" s="1"/>
  <c r="AG39" i="82"/>
  <c r="AB102" i="105"/>
  <c r="M227" i="41"/>
  <c r="M229" i="41" s="1"/>
  <c r="L194" i="105"/>
  <c r="L116" i="105"/>
  <c r="AJ195" i="105"/>
  <c r="AJ117" i="105"/>
  <c r="AL117" i="105"/>
  <c r="AL195" i="105"/>
  <c r="X227" i="41"/>
  <c r="X229" i="41" s="1"/>
  <c r="AN102" i="105"/>
  <c r="AE124" i="65"/>
  <c r="AE153" i="65" s="1"/>
  <c r="AE58" i="105" s="1"/>
  <c r="AE98" i="105" s="1"/>
  <c r="AE41" i="82"/>
  <c r="AE142" i="65"/>
  <c r="AE171" i="65" s="1"/>
  <c r="AE76" i="105" s="1"/>
  <c r="W195" i="105"/>
  <c r="W117" i="105"/>
  <c r="Q299" i="41"/>
  <c r="Q305" i="41" s="1"/>
  <c r="Q392" i="41" s="1"/>
  <c r="Q396" i="41" s="1"/>
  <c r="K107" i="105"/>
  <c r="K184" i="105"/>
  <c r="J124" i="65"/>
  <c r="J153" i="65" s="1"/>
  <c r="J58" i="105" s="1"/>
  <c r="J98" i="105" s="1"/>
  <c r="J142" i="65"/>
  <c r="J171" i="65" s="1"/>
  <c r="J76" i="105" s="1"/>
  <c r="J133" i="65"/>
  <c r="J162" i="65" s="1"/>
  <c r="J67" i="105" s="1"/>
  <c r="J41" i="82"/>
  <c r="AB117" i="105"/>
  <c r="AB195" i="105"/>
  <c r="AB115" i="105"/>
  <c r="AB193" i="105"/>
  <c r="M41" i="82"/>
  <c r="M133" i="65"/>
  <c r="M162" i="65" s="1"/>
  <c r="M67" i="105" s="1"/>
  <c r="M142" i="65"/>
  <c r="M171" i="65" s="1"/>
  <c r="M76" i="105" s="1"/>
  <c r="M124" i="65"/>
  <c r="M153" i="65" s="1"/>
  <c r="M58" i="105" s="1"/>
  <c r="M98" i="105" s="1"/>
  <c r="L106" i="105"/>
  <c r="L183" i="105"/>
  <c r="R182" i="105"/>
  <c r="R105" i="105"/>
  <c r="AH182" i="105"/>
  <c r="AH105" i="105"/>
  <c r="AJ184" i="105"/>
  <c r="AJ107" i="105"/>
  <c r="AG130" i="65"/>
  <c r="AG159" i="65" s="1"/>
  <c r="AG64" i="105" s="1"/>
  <c r="AG139" i="65"/>
  <c r="AG168" i="65" s="1"/>
  <c r="AG73" i="105" s="1"/>
  <c r="AG121" i="65"/>
  <c r="AG150" i="65" s="1"/>
  <c r="AG55" i="105" s="1"/>
  <c r="AG95" i="105" s="1"/>
  <c r="AG38" i="82"/>
  <c r="R184" i="105"/>
  <c r="R107" i="105"/>
  <c r="X41" i="82"/>
  <c r="X124" i="65"/>
  <c r="X153" i="65" s="1"/>
  <c r="X58" i="105" s="1"/>
  <c r="X98" i="105" s="1"/>
  <c r="X142" i="65"/>
  <c r="X171" i="65" s="1"/>
  <c r="X76" i="105" s="1"/>
  <c r="AL102" i="105"/>
  <c r="AB331" i="41"/>
  <c r="W331" i="41"/>
  <c r="S227" i="41"/>
  <c r="S229" i="41" s="1"/>
  <c r="U227" i="41"/>
  <c r="U229" i="41" s="1"/>
  <c r="K299" i="41"/>
  <c r="K195" i="105"/>
  <c r="K117" i="105"/>
  <c r="J227" i="41"/>
  <c r="J229" i="41" s="1"/>
  <c r="Y41" i="82"/>
  <c r="Y124" i="65"/>
  <c r="Y153" i="65" s="1"/>
  <c r="Y58" i="105" s="1"/>
  <c r="Y98" i="105" s="1"/>
  <c r="Y142" i="65"/>
  <c r="Y171" i="65" s="1"/>
  <c r="Y76" i="105" s="1"/>
  <c r="Q116" i="105"/>
  <c r="Q194" i="105"/>
  <c r="T133" i="65"/>
  <c r="T162" i="65" s="1"/>
  <c r="T67" i="105" s="1"/>
  <c r="T41" i="82"/>
  <c r="T142" i="65"/>
  <c r="T171" i="65" s="1"/>
  <c r="T76" i="105" s="1"/>
  <c r="T124" i="65"/>
  <c r="T153" i="65" s="1"/>
  <c r="T58" i="105" s="1"/>
  <c r="T98" i="105" s="1"/>
  <c r="AH193" i="105"/>
  <c r="AH115" i="105"/>
  <c r="AD41" i="82"/>
  <c r="AD124" i="65"/>
  <c r="AD153" i="65" s="1"/>
  <c r="AD58" i="105" s="1"/>
  <c r="AD98" i="105" s="1"/>
  <c r="AD142" i="65"/>
  <c r="AD171" i="65" s="1"/>
  <c r="AD76" i="105" s="1"/>
  <c r="L195" i="105"/>
  <c r="L117" i="105"/>
  <c r="N227" i="41"/>
  <c r="N229" i="41" s="1"/>
  <c r="K331" i="41" l="1"/>
  <c r="AK365" i="41"/>
  <c r="AK367" i="41" s="1"/>
  <c r="AK369" i="41" s="1"/>
  <c r="AK394" i="41" s="1"/>
  <c r="AI331" i="41"/>
  <c r="Y294" i="41"/>
  <c r="Y296" i="41" s="1"/>
  <c r="AK331" i="41"/>
  <c r="L331" i="41"/>
  <c r="AO365" i="41"/>
  <c r="AO367" i="41" s="1"/>
  <c r="AO369" i="41" s="1"/>
  <c r="AO394" i="41" s="1"/>
  <c r="AO299" i="41"/>
  <c r="AO305" i="41" s="1"/>
  <c r="AO392" i="41" s="1"/>
  <c r="AO396" i="41" s="1"/>
  <c r="AO331" i="41"/>
  <c r="AJ331" i="41"/>
  <c r="AL299" i="41"/>
  <c r="AL305" i="41" s="1"/>
  <c r="AL392" i="41" s="1"/>
  <c r="AL396" i="41" s="1"/>
  <c r="AJ299" i="41"/>
  <c r="AJ305" i="41" s="1"/>
  <c r="AJ392" i="41" s="1"/>
  <c r="AJ396" i="41" s="1"/>
  <c r="L299" i="41"/>
  <c r="L305" i="41" s="1"/>
  <c r="L392" i="41" s="1"/>
  <c r="L396" i="41" s="1"/>
  <c r="L365" i="41"/>
  <c r="L367" i="41" s="1"/>
  <c r="L369" i="41" s="1"/>
  <c r="L394" i="41" s="1"/>
  <c r="W365" i="41"/>
  <c r="W367" i="41" s="1"/>
  <c r="W369" i="41" s="1"/>
  <c r="W394" i="41" s="1"/>
  <c r="AL365" i="41"/>
  <c r="AL367" i="41" s="1"/>
  <c r="AL369" i="41" s="1"/>
  <c r="AL394" i="41" s="1"/>
  <c r="AK299" i="41"/>
  <c r="AK305" i="41" s="1"/>
  <c r="AK392" i="41" s="1"/>
  <c r="AK396" i="41" s="1"/>
  <c r="AM365" i="41"/>
  <c r="AM367" i="41" s="1"/>
  <c r="AM369" i="41" s="1"/>
  <c r="AM394" i="41" s="1"/>
  <c r="AN365" i="41"/>
  <c r="AN367" i="41" s="1"/>
  <c r="AN369" i="41" s="1"/>
  <c r="AN394" i="41" s="1"/>
  <c r="R299" i="41"/>
  <c r="R305" i="41" s="1"/>
  <c r="R392" i="41" s="1"/>
  <c r="R396" i="41" s="1"/>
  <c r="AJ365" i="41"/>
  <c r="AJ367" i="41" s="1"/>
  <c r="AJ369" i="41" s="1"/>
  <c r="AJ394" i="41" s="1"/>
  <c r="AH331" i="41"/>
  <c r="AB365" i="41"/>
  <c r="AB367" i="41" s="1"/>
  <c r="AB369" i="41" s="1"/>
  <c r="AB394" i="41" s="1"/>
  <c r="AL331" i="41"/>
  <c r="AI365" i="41"/>
  <c r="AI367" i="41" s="1"/>
  <c r="AI369" i="41" s="1"/>
  <c r="AI394" i="41" s="1"/>
  <c r="AH365" i="41"/>
  <c r="AH367" i="41" s="1"/>
  <c r="AH369" i="41" s="1"/>
  <c r="AH394" i="41" s="1"/>
  <c r="Q365" i="41"/>
  <c r="Q367" i="41" s="1"/>
  <c r="Q369" i="41" s="1"/>
  <c r="Q394" i="41" s="1"/>
  <c r="AI299" i="41"/>
  <c r="AI305" i="41" s="1"/>
  <c r="AI392" i="41" s="1"/>
  <c r="AI396" i="41" s="1"/>
  <c r="K365" i="41"/>
  <c r="K367" i="41" s="1"/>
  <c r="K369" i="41" s="1"/>
  <c r="K394" i="41" s="1"/>
  <c r="R365" i="41"/>
  <c r="R367" i="41" s="1"/>
  <c r="R369" i="41" s="1"/>
  <c r="R394" i="41" s="1"/>
  <c r="R331" i="41"/>
  <c r="AH299" i="41"/>
  <c r="AH305" i="41" s="1"/>
  <c r="AH392" i="41" s="1"/>
  <c r="AH396" i="41" s="1"/>
  <c r="AI148" i="105"/>
  <c r="AI142" i="105"/>
  <c r="AK206" i="105"/>
  <c r="AK207" i="105"/>
  <c r="W140" i="105"/>
  <c r="W206" i="105" s="1"/>
  <c r="AJ140" i="105"/>
  <c r="V238" i="41"/>
  <c r="V274" i="41" s="1"/>
  <c r="Y425" i="41"/>
  <c r="K146" i="105"/>
  <c r="K69" i="82" s="1"/>
  <c r="K140" i="105"/>
  <c r="AJ146" i="105"/>
  <c r="AJ69" i="82" s="1"/>
  <c r="V294" i="41"/>
  <c r="V296" i="41" s="1"/>
  <c r="T238" i="41"/>
  <c r="T273" i="41" s="1"/>
  <c r="T294" i="41"/>
  <c r="T296" i="41" s="1"/>
  <c r="AC294" i="41"/>
  <c r="AC296" i="41" s="1"/>
  <c r="AG102" i="105"/>
  <c r="R146" i="105"/>
  <c r="R69" i="82" s="1"/>
  <c r="AA294" i="41"/>
  <c r="AA296" i="41" s="1"/>
  <c r="R140" i="105"/>
  <c r="AA238" i="41"/>
  <c r="AA406" i="41" s="1"/>
  <c r="AA415" i="41" s="1"/>
  <c r="AA34" i="65" s="1"/>
  <c r="AA112" i="65" s="1"/>
  <c r="AH200" i="105"/>
  <c r="AC425" i="41"/>
  <c r="AD425" i="41"/>
  <c r="AD294" i="41"/>
  <c r="AD296" i="41" s="1"/>
  <c r="AH112" i="105"/>
  <c r="AH141" i="105" s="1"/>
  <c r="AH122" i="105"/>
  <c r="AH148" i="105" s="1"/>
  <c r="W146" i="105"/>
  <c r="W69" i="82" s="1"/>
  <c r="AN122" i="105"/>
  <c r="Q112" i="105"/>
  <c r="AG106" i="105"/>
  <c r="AG183" i="105"/>
  <c r="AC196" i="105"/>
  <c r="AC118" i="105"/>
  <c r="U118" i="105"/>
  <c r="U196" i="105"/>
  <c r="H231" i="41"/>
  <c r="J425" i="41"/>
  <c r="J294" i="41"/>
  <c r="J296" i="41" s="1"/>
  <c r="J238" i="41"/>
  <c r="M185" i="105"/>
  <c r="M108" i="105"/>
  <c r="H98" i="105"/>
  <c r="M238" i="41"/>
  <c r="M425" i="41"/>
  <c r="M294" i="41"/>
  <c r="M296" i="41" s="1"/>
  <c r="AD275" i="41"/>
  <c r="AD280" i="41" s="1"/>
  <c r="AD285" i="41" s="1"/>
  <c r="AD363" i="41" s="1"/>
  <c r="AD404" i="41"/>
  <c r="AD413" i="41" s="1"/>
  <c r="AD32" i="65" s="1"/>
  <c r="AD110" i="65" s="1"/>
  <c r="AD406" i="41"/>
  <c r="AD415" i="41" s="1"/>
  <c r="AD34" i="65" s="1"/>
  <c r="AD112" i="65" s="1"/>
  <c r="AD251" i="41"/>
  <c r="AD269" i="41"/>
  <c r="AD252" i="41"/>
  <c r="AD268" i="41"/>
  <c r="AD250" i="41"/>
  <c r="AD405" i="41"/>
  <c r="AD414" i="41" s="1"/>
  <c r="AD33" i="65" s="1"/>
  <c r="AD111" i="65" s="1"/>
  <c r="AD274" i="41"/>
  <c r="AD279" i="41" s="1"/>
  <c r="AD284" i="41" s="1"/>
  <c r="AD273" i="41"/>
  <c r="AD278" i="41" s="1"/>
  <c r="AD283" i="41" s="1"/>
  <c r="AD270" i="41"/>
  <c r="O238" i="41"/>
  <c r="O294" i="41"/>
  <c r="O296" i="41" s="1"/>
  <c r="O425" i="41"/>
  <c r="AG117" i="105"/>
  <c r="AG195" i="105"/>
  <c r="N118" i="105"/>
  <c r="N196" i="105"/>
  <c r="P185" i="105"/>
  <c r="P108" i="105"/>
  <c r="AF425" i="41"/>
  <c r="AF294" i="41"/>
  <c r="AF296" i="41" s="1"/>
  <c r="AF238" i="41"/>
  <c r="M196" i="105"/>
  <c r="M118" i="105"/>
  <c r="V108" i="105"/>
  <c r="V185" i="105"/>
  <c r="Q140" i="105"/>
  <c r="Q146" i="105"/>
  <c r="Q69" i="82" s="1"/>
  <c r="U294" i="41"/>
  <c r="U296" i="41" s="1"/>
  <c r="U238" i="41"/>
  <c r="Z294" i="41"/>
  <c r="Z296" i="41" s="1"/>
  <c r="U425" i="41"/>
  <c r="AH189" i="105"/>
  <c r="AB140" i="105"/>
  <c r="AB146" i="105"/>
  <c r="AB69" i="82" s="1"/>
  <c r="AG184" i="105"/>
  <c r="AG107" i="105"/>
  <c r="N185" i="105"/>
  <c r="N108" i="105"/>
  <c r="Z196" i="105"/>
  <c r="Z118" i="105"/>
  <c r="L189" i="105"/>
  <c r="Q122" i="105"/>
  <c r="AH146" i="105"/>
  <c r="AH69" i="82" s="1"/>
  <c r="AH140" i="105"/>
  <c r="U185" i="105"/>
  <c r="U108" i="105"/>
  <c r="X238" i="41"/>
  <c r="X425" i="41"/>
  <c r="AD118" i="105"/>
  <c r="AD196" i="105"/>
  <c r="S238" i="41"/>
  <c r="S294" i="41"/>
  <c r="S296" i="41" s="1"/>
  <c r="S425" i="41"/>
  <c r="X294" i="41"/>
  <c r="X296" i="41" s="1"/>
  <c r="R112" i="105"/>
  <c r="AB200" i="105"/>
  <c r="AN200" i="105"/>
  <c r="AJ112" i="105"/>
  <c r="L140" i="105"/>
  <c r="L146" i="105"/>
  <c r="L69" i="82" s="1"/>
  <c r="O185" i="105"/>
  <c r="O108" i="105"/>
  <c r="AF118" i="105"/>
  <c r="AF196" i="105"/>
  <c r="K200" i="105"/>
  <c r="L112" i="105"/>
  <c r="Q200" i="105"/>
  <c r="Y196" i="105"/>
  <c r="Y118" i="105"/>
  <c r="K305" i="41"/>
  <c r="K392" i="41" s="1"/>
  <c r="K396" i="41" s="1"/>
  <c r="R189" i="105"/>
  <c r="AB122" i="105"/>
  <c r="AJ200" i="105"/>
  <c r="AJ189" i="105"/>
  <c r="AJ206" i="105" s="1"/>
  <c r="AJ79" i="82" s="1"/>
  <c r="O196" i="105"/>
  <c r="O118" i="105"/>
  <c r="K122" i="105"/>
  <c r="Z425" i="41"/>
  <c r="Z238" i="41"/>
  <c r="R122" i="105"/>
  <c r="K112" i="105"/>
  <c r="N425" i="41"/>
  <c r="N238" i="41"/>
  <c r="N294" i="41"/>
  <c r="N296" i="41" s="1"/>
  <c r="T196" i="105"/>
  <c r="T118" i="105"/>
  <c r="AJ122" i="105"/>
  <c r="AL122" i="105"/>
  <c r="R200" i="105"/>
  <c r="K189" i="105"/>
  <c r="AC273" i="41"/>
  <c r="AC269" i="41"/>
  <c r="AC251" i="41"/>
  <c r="AC252" i="41"/>
  <c r="AC406" i="41"/>
  <c r="AC415" i="41" s="1"/>
  <c r="AC34" i="65" s="1"/>
  <c r="AC112" i="65" s="1"/>
  <c r="AC275" i="41"/>
  <c r="AC274" i="41"/>
  <c r="AC405" i="41"/>
  <c r="AC414" i="41" s="1"/>
  <c r="AC33" i="65" s="1"/>
  <c r="AC111" i="65" s="1"/>
  <c r="AC270" i="41"/>
  <c r="AC268" i="41"/>
  <c r="AC404" i="41"/>
  <c r="AC413" i="41" s="1"/>
  <c r="AC32" i="65" s="1"/>
  <c r="AC110" i="65" s="1"/>
  <c r="AC250" i="41"/>
  <c r="S196" i="105"/>
  <c r="S118" i="105"/>
  <c r="AL146" i="105"/>
  <c r="AK69" i="82" s="1"/>
  <c r="AL140" i="105"/>
  <c r="AG193" i="105"/>
  <c r="AG115" i="105"/>
  <c r="AE238" i="41"/>
  <c r="AE425" i="41"/>
  <c r="AE294" i="41"/>
  <c r="AE296" i="41" s="1"/>
  <c r="AL200" i="105"/>
  <c r="V118" i="105"/>
  <c r="V196" i="105"/>
  <c r="W122" i="105"/>
  <c r="L122" i="105"/>
  <c r="J196" i="105"/>
  <c r="J118" i="105"/>
  <c r="T185" i="105"/>
  <c r="T108" i="105"/>
  <c r="X118" i="105"/>
  <c r="X196" i="105"/>
  <c r="AG182" i="105"/>
  <c r="AG105" i="105"/>
  <c r="Y251" i="41"/>
  <c r="Y275" i="41"/>
  <c r="Y268" i="41"/>
  <c r="Y274" i="41"/>
  <c r="Y252" i="41"/>
  <c r="Y250" i="41"/>
  <c r="Y406" i="41"/>
  <c r="Y415" i="41" s="1"/>
  <c r="Y34" i="65" s="1"/>
  <c r="Y112" i="65" s="1"/>
  <c r="Y273" i="41"/>
  <c r="Y405" i="41"/>
  <c r="Y414" i="41" s="1"/>
  <c r="Y33" i="65" s="1"/>
  <c r="Y111" i="65" s="1"/>
  <c r="Y270" i="41"/>
  <c r="Y269" i="41"/>
  <c r="Y404" i="41"/>
  <c r="Y413" i="41" s="1"/>
  <c r="Y32" i="65" s="1"/>
  <c r="Y110" i="65" s="1"/>
  <c r="J108" i="105"/>
  <c r="J185" i="105"/>
  <c r="AE196" i="105"/>
  <c r="AE118" i="105"/>
  <c r="AN146" i="105"/>
  <c r="AL69" i="82" s="1"/>
  <c r="AN140" i="105"/>
  <c r="AG194" i="105"/>
  <c r="AG116" i="105"/>
  <c r="AA196" i="105"/>
  <c r="AA118" i="105"/>
  <c r="AI207" i="105"/>
  <c r="AI80" i="82" s="1"/>
  <c r="AI68" i="82"/>
  <c r="P196" i="105"/>
  <c r="P118" i="105"/>
  <c r="Q189" i="105"/>
  <c r="P425" i="41"/>
  <c r="P294" i="41"/>
  <c r="P296" i="41" s="1"/>
  <c r="P238" i="41"/>
  <c r="W200" i="105"/>
  <c r="L200" i="105"/>
  <c r="S108" i="105"/>
  <c r="S185" i="105"/>
  <c r="AO333" i="41" l="1"/>
  <c r="AO335" i="41" s="1"/>
  <c r="AO337" i="41" s="1"/>
  <c r="AO393" i="41" s="1"/>
  <c r="W333" i="41"/>
  <c r="W335" i="41" s="1"/>
  <c r="W337" i="41" s="1"/>
  <c r="W393" i="41" s="1"/>
  <c r="AM333" i="41"/>
  <c r="AM335" i="41" s="1"/>
  <c r="AM337" i="41" s="1"/>
  <c r="AM393" i="41" s="1"/>
  <c r="AI301" i="41"/>
  <c r="AI303" i="41" s="1"/>
  <c r="AM301" i="41"/>
  <c r="AM303" i="41" s="1"/>
  <c r="AN301" i="41"/>
  <c r="AN303" i="41" s="1"/>
  <c r="AO301" i="41"/>
  <c r="AO303" i="41" s="1"/>
  <c r="W301" i="41"/>
  <c r="W303" i="41" s="1"/>
  <c r="AH301" i="41"/>
  <c r="AH303" i="41" s="1"/>
  <c r="AL301" i="41"/>
  <c r="AL303" i="41" s="1"/>
  <c r="R301" i="41"/>
  <c r="R303" i="41" s="1"/>
  <c r="L301" i="41"/>
  <c r="L303" i="41" s="1"/>
  <c r="K301" i="41"/>
  <c r="K303" i="41" s="1"/>
  <c r="AB301" i="41"/>
  <c r="AB303" i="41" s="1"/>
  <c r="AJ301" i="41"/>
  <c r="AJ303" i="41" s="1"/>
  <c r="Q301" i="41"/>
  <c r="Q303" i="41" s="1"/>
  <c r="AK301" i="41"/>
  <c r="AK303" i="41" s="1"/>
  <c r="AH333" i="41"/>
  <c r="AH335" i="41" s="1"/>
  <c r="AH337" i="41" s="1"/>
  <c r="AH393" i="41" s="1"/>
  <c r="AK333" i="41"/>
  <c r="AK335" i="41" s="1"/>
  <c r="AK337" i="41" s="1"/>
  <c r="AK393" i="41" s="1"/>
  <c r="AN333" i="41"/>
  <c r="AN335" i="41" s="1"/>
  <c r="AN337" i="41" s="1"/>
  <c r="AN393" i="41" s="1"/>
  <c r="L333" i="41"/>
  <c r="L335" i="41" s="1"/>
  <c r="L337" i="41" s="1"/>
  <c r="L393" i="41" s="1"/>
  <c r="R333" i="41"/>
  <c r="R335" i="41" s="1"/>
  <c r="R337" i="41" s="1"/>
  <c r="R393" i="41" s="1"/>
  <c r="Q333" i="41"/>
  <c r="Q335" i="41" s="1"/>
  <c r="Q337" i="41" s="1"/>
  <c r="Q393" i="41" s="1"/>
  <c r="AL333" i="41"/>
  <c r="AL335" i="41" s="1"/>
  <c r="AL337" i="41" s="1"/>
  <c r="AL393" i="41" s="1"/>
  <c r="AB333" i="41"/>
  <c r="AB335" i="41" s="1"/>
  <c r="AB337" i="41" s="1"/>
  <c r="AB393" i="41" s="1"/>
  <c r="K333" i="41"/>
  <c r="K335" i="41" s="1"/>
  <c r="K337" i="41" s="1"/>
  <c r="K393" i="41" s="1"/>
  <c r="AI333" i="41"/>
  <c r="AI335" i="41" s="1"/>
  <c r="AI337" i="41" s="1"/>
  <c r="AI393" i="41" s="1"/>
  <c r="AJ333" i="41"/>
  <c r="AJ335" i="41" s="1"/>
  <c r="AJ337" i="41" s="1"/>
  <c r="AJ393" i="41" s="1"/>
  <c r="W207" i="105"/>
  <c r="W80" i="82" s="1"/>
  <c r="AJ68" i="82"/>
  <c r="W68" i="82"/>
  <c r="AC278" i="41"/>
  <c r="AC283" i="41" s="1"/>
  <c r="AC280" i="41"/>
  <c r="AC285" i="41" s="1"/>
  <c r="AC363" i="41" s="1"/>
  <c r="AC365" i="41" s="1"/>
  <c r="AC367" i="41" s="1"/>
  <c r="AC369" i="41" s="1"/>
  <c r="AC394" i="41" s="1"/>
  <c r="AC279" i="41"/>
  <c r="AC284" i="41" s="1"/>
  <c r="AJ207" i="105"/>
  <c r="AJ80" i="82" s="1"/>
  <c r="AG140" i="105"/>
  <c r="R68" i="82"/>
  <c r="V406" i="41"/>
  <c r="V415" i="41" s="1"/>
  <c r="V34" i="65" s="1"/>
  <c r="V112" i="65" s="1"/>
  <c r="V141" i="65" s="1"/>
  <c r="V170" i="65" s="1"/>
  <c r="V75" i="105" s="1"/>
  <c r="K68" i="82"/>
  <c r="V275" i="41"/>
  <c r="V270" i="41"/>
  <c r="V251" i="41"/>
  <c r="V269" i="41"/>
  <c r="V252" i="41"/>
  <c r="V405" i="41"/>
  <c r="V414" i="41" s="1"/>
  <c r="V33" i="65" s="1"/>
  <c r="V111" i="65" s="1"/>
  <c r="V131" i="65" s="1"/>
  <c r="V160" i="65" s="1"/>
  <c r="V65" i="105" s="1"/>
  <c r="V273" i="41"/>
  <c r="V268" i="41"/>
  <c r="V250" i="41"/>
  <c r="V404" i="41"/>
  <c r="V413" i="41" s="1"/>
  <c r="V32" i="65" s="1"/>
  <c r="V110" i="65" s="1"/>
  <c r="V121" i="65" s="1"/>
  <c r="V150" i="65" s="1"/>
  <c r="V55" i="105" s="1"/>
  <c r="V95" i="105" s="1"/>
  <c r="AA274" i="41"/>
  <c r="AA279" i="41" s="1"/>
  <c r="AA284" i="41" s="1"/>
  <c r="AA268" i="41"/>
  <c r="T251" i="41"/>
  <c r="K206" i="105"/>
  <c r="K79" i="82" s="1"/>
  <c r="K207" i="105"/>
  <c r="K80" i="82" s="1"/>
  <c r="AA250" i="41"/>
  <c r="T405" i="41"/>
  <c r="T414" i="41" s="1"/>
  <c r="T33" i="65" s="1"/>
  <c r="T111" i="65" s="1"/>
  <c r="T39" i="82" s="1"/>
  <c r="AA270" i="41"/>
  <c r="AA252" i="41"/>
  <c r="AA275" i="41"/>
  <c r="AA405" i="41"/>
  <c r="AA414" i="41" s="1"/>
  <c r="AA33" i="65" s="1"/>
  <c r="AA111" i="65" s="1"/>
  <c r="AA140" i="65" s="1"/>
  <c r="AA169" i="65" s="1"/>
  <c r="AA74" i="105" s="1"/>
  <c r="T250" i="41"/>
  <c r="AA273" i="41"/>
  <c r="T275" i="41"/>
  <c r="Y280" i="41" s="1"/>
  <c r="Y285" i="41" s="1"/>
  <c r="Y363" i="41" s="1"/>
  <c r="T406" i="41"/>
  <c r="T415" i="41" s="1"/>
  <c r="T34" i="65" s="1"/>
  <c r="T112" i="65" s="1"/>
  <c r="T123" i="65" s="1"/>
  <c r="T152" i="65" s="1"/>
  <c r="T57" i="105" s="1"/>
  <c r="T97" i="105" s="1"/>
  <c r="AA404" i="41"/>
  <c r="AA413" i="41" s="1"/>
  <c r="AA32" i="65" s="1"/>
  <c r="AA110" i="65" s="1"/>
  <c r="AA139" i="65" s="1"/>
  <c r="AA168" i="65" s="1"/>
  <c r="AA73" i="105" s="1"/>
  <c r="T404" i="41"/>
  <c r="T413" i="41" s="1"/>
  <c r="T32" i="65" s="1"/>
  <c r="T110" i="65" s="1"/>
  <c r="T130" i="65" s="1"/>
  <c r="T159" i="65" s="1"/>
  <c r="T64" i="105" s="1"/>
  <c r="T268" i="41"/>
  <c r="T252" i="41"/>
  <c r="AA269" i="41"/>
  <c r="AA251" i="41"/>
  <c r="T269" i="41"/>
  <c r="T274" i="41"/>
  <c r="Y279" i="41" s="1"/>
  <c r="Y284" i="41" s="1"/>
  <c r="T270" i="41"/>
  <c r="AG146" i="105"/>
  <c r="AG69" i="82" s="1"/>
  <c r="Y278" i="41"/>
  <c r="Y283" i="41" s="1"/>
  <c r="AH142" i="105"/>
  <c r="R206" i="105"/>
  <c r="R79" i="82" s="1"/>
  <c r="R207" i="105"/>
  <c r="R80" i="82" s="1"/>
  <c r="AH147" i="105"/>
  <c r="AH207" i="105"/>
  <c r="AH80" i="82" s="1"/>
  <c r="AG189" i="105"/>
  <c r="AG112" i="105"/>
  <c r="AG147" i="105" s="1"/>
  <c r="AG200" i="105"/>
  <c r="AG122" i="105"/>
  <c r="AG148" i="105" s="1"/>
  <c r="Y141" i="65"/>
  <c r="Y170" i="65" s="1"/>
  <c r="Y75" i="105" s="1"/>
  <c r="Y40" i="82"/>
  <c r="Y123" i="65"/>
  <c r="Y152" i="65" s="1"/>
  <c r="Y57" i="105" s="1"/>
  <c r="Y97" i="105" s="1"/>
  <c r="AE251" i="41"/>
  <c r="AE406" i="41"/>
  <c r="AE415" i="41" s="1"/>
  <c r="AE34" i="65" s="1"/>
  <c r="AE112" i="65" s="1"/>
  <c r="AE252" i="41"/>
  <c r="AE404" i="41"/>
  <c r="AE413" i="41" s="1"/>
  <c r="AE32" i="65" s="1"/>
  <c r="AE110" i="65" s="1"/>
  <c r="AE275" i="41"/>
  <c r="AE280" i="41" s="1"/>
  <c r="AE285" i="41" s="1"/>
  <c r="AE363" i="41" s="1"/>
  <c r="AE365" i="41" s="1"/>
  <c r="AE367" i="41" s="1"/>
  <c r="AE369" i="41" s="1"/>
  <c r="AE394" i="41" s="1"/>
  <c r="AE405" i="41"/>
  <c r="AE414" i="41" s="1"/>
  <c r="AE33" i="65" s="1"/>
  <c r="AE111" i="65" s="1"/>
  <c r="AE269" i="41"/>
  <c r="AE270" i="41"/>
  <c r="AE268" i="41"/>
  <c r="AE274" i="41"/>
  <c r="AE279" i="41" s="1"/>
  <c r="AE284" i="41" s="1"/>
  <c r="AE250" i="41"/>
  <c r="AE273" i="41"/>
  <c r="AE278" i="41" s="1"/>
  <c r="AE283" i="41" s="1"/>
  <c r="K141" i="105"/>
  <c r="K147" i="105"/>
  <c r="Z268" i="41"/>
  <c r="Z274" i="41"/>
  <c r="Z404" i="41"/>
  <c r="Z413" i="41" s="1"/>
  <c r="Z32" i="65" s="1"/>
  <c r="Z110" i="65" s="1"/>
  <c r="Z275" i="41"/>
  <c r="Z273" i="41"/>
  <c r="Z406" i="41"/>
  <c r="Z415" i="41" s="1"/>
  <c r="Z34" i="65" s="1"/>
  <c r="Z112" i="65" s="1"/>
  <c r="Z252" i="41"/>
  <c r="Z250" i="41"/>
  <c r="Z269" i="41"/>
  <c r="Z251" i="41"/>
  <c r="Z405" i="41"/>
  <c r="Z414" i="41" s="1"/>
  <c r="Z33" i="65" s="1"/>
  <c r="Z111" i="65" s="1"/>
  <c r="Z270" i="41"/>
  <c r="L207" i="105"/>
  <c r="L80" i="82" s="1"/>
  <c r="L68" i="82"/>
  <c r="L206" i="105"/>
  <c r="L79" i="82" s="1"/>
  <c r="T278" i="41"/>
  <c r="T283" i="41" s="1"/>
  <c r="N405" i="41"/>
  <c r="N414" i="41" s="1"/>
  <c r="N33" i="65" s="1"/>
  <c r="N111" i="65" s="1"/>
  <c r="N250" i="41"/>
  <c r="N268" i="41"/>
  <c r="N251" i="41"/>
  <c r="N269" i="41"/>
  <c r="N252" i="41"/>
  <c r="N273" i="41"/>
  <c r="N278" i="41" s="1"/>
  <c r="N283" i="41" s="1"/>
  <c r="N270" i="41"/>
  <c r="N274" i="41"/>
  <c r="N279" i="41" s="1"/>
  <c r="N284" i="41" s="1"/>
  <c r="N404" i="41"/>
  <c r="N413" i="41" s="1"/>
  <c r="N32" i="65" s="1"/>
  <c r="N110" i="65" s="1"/>
  <c r="N275" i="41"/>
  <c r="N280" i="41" s="1"/>
  <c r="N285" i="41" s="1"/>
  <c r="N363" i="41" s="1"/>
  <c r="N365" i="41" s="1"/>
  <c r="N367" i="41" s="1"/>
  <c r="N369" i="41" s="1"/>
  <c r="N394" i="41" s="1"/>
  <c r="N406" i="41"/>
  <c r="N415" i="41" s="1"/>
  <c r="N34" i="65" s="1"/>
  <c r="N112" i="65" s="1"/>
  <c r="H425" i="41"/>
  <c r="AA141" i="65"/>
  <c r="AA170" i="65" s="1"/>
  <c r="AA75" i="105" s="1"/>
  <c r="AA123" i="65"/>
  <c r="AA152" i="65" s="1"/>
  <c r="AA57" i="105" s="1"/>
  <c r="AA97" i="105" s="1"/>
  <c r="AA40" i="82"/>
  <c r="X405" i="41"/>
  <c r="X414" i="41" s="1"/>
  <c r="X33" i="65" s="1"/>
  <c r="X111" i="65" s="1"/>
  <c r="X269" i="41"/>
  <c r="X406" i="41"/>
  <c r="X415" i="41" s="1"/>
  <c r="X34" i="65" s="1"/>
  <c r="X112" i="65" s="1"/>
  <c r="X275" i="41"/>
  <c r="X270" i="41"/>
  <c r="X250" i="41"/>
  <c r="X251" i="41"/>
  <c r="X252" i="41"/>
  <c r="X273" i="41"/>
  <c r="X268" i="41"/>
  <c r="X404" i="41"/>
  <c r="X413" i="41" s="1"/>
  <c r="X32" i="65" s="1"/>
  <c r="X110" i="65" s="1"/>
  <c r="X274" i="41"/>
  <c r="H108" i="105"/>
  <c r="AC122" i="65"/>
  <c r="AC151" i="65" s="1"/>
  <c r="AC56" i="105" s="1"/>
  <c r="AC96" i="105" s="1"/>
  <c r="AC39" i="82"/>
  <c r="AC140" i="65"/>
  <c r="AC169" i="65" s="1"/>
  <c r="AC74" i="105" s="1"/>
  <c r="K148" i="105"/>
  <c r="K142" i="105"/>
  <c r="AF251" i="41"/>
  <c r="AF269" i="41"/>
  <c r="AF270" i="41"/>
  <c r="AF406" i="41"/>
  <c r="AF415" i="41" s="1"/>
  <c r="AF34" i="65" s="1"/>
  <c r="AF112" i="65" s="1"/>
  <c r="AF268" i="41"/>
  <c r="AF404" i="41"/>
  <c r="AF413" i="41" s="1"/>
  <c r="AF32" i="65" s="1"/>
  <c r="AF110" i="65" s="1"/>
  <c r="AF252" i="41"/>
  <c r="AF405" i="41"/>
  <c r="AF414" i="41" s="1"/>
  <c r="AF33" i="65" s="1"/>
  <c r="AF111" i="65" s="1"/>
  <c r="AF250" i="41"/>
  <c r="AF274" i="41"/>
  <c r="AF279" i="41" s="1"/>
  <c r="AF284" i="41" s="1"/>
  <c r="AF273" i="41"/>
  <c r="AF278" i="41" s="1"/>
  <c r="AF283" i="41" s="1"/>
  <c r="AF275" i="41"/>
  <c r="AF280" i="41" s="1"/>
  <c r="AF285" i="41" s="1"/>
  <c r="AF363" i="41" s="1"/>
  <c r="AF365" i="41" s="1"/>
  <c r="AF367" i="41" s="1"/>
  <c r="AF369" i="41" s="1"/>
  <c r="AF394" i="41" s="1"/>
  <c r="Y121" i="65"/>
  <c r="Y150" i="65" s="1"/>
  <c r="Y55" i="105" s="1"/>
  <c r="Y95" i="105" s="1"/>
  <c r="Y139" i="65"/>
  <c r="Y168" i="65" s="1"/>
  <c r="Y73" i="105" s="1"/>
  <c r="Y38" i="82"/>
  <c r="H118" i="105"/>
  <c r="AJ148" i="105"/>
  <c r="AJ142" i="105"/>
  <c r="AN207" i="105"/>
  <c r="AL80" i="82" s="1"/>
  <c r="AL68" i="82"/>
  <c r="Q207" i="105"/>
  <c r="Q80" i="82" s="1"/>
  <c r="Q68" i="82"/>
  <c r="Q206" i="105"/>
  <c r="Q79" i="82" s="1"/>
  <c r="AD299" i="41"/>
  <c r="AD123" i="65"/>
  <c r="AD152" i="65" s="1"/>
  <c r="AD57" i="105" s="1"/>
  <c r="AD97" i="105" s="1"/>
  <c r="AD40" i="82"/>
  <c r="AD141" i="65"/>
  <c r="AD170" i="65" s="1"/>
  <c r="AD75" i="105" s="1"/>
  <c r="AC139" i="65"/>
  <c r="AC168" i="65" s="1"/>
  <c r="AC73" i="105" s="1"/>
  <c r="AC121" i="65"/>
  <c r="AC150" i="65" s="1"/>
  <c r="AC55" i="105" s="1"/>
  <c r="AC95" i="105" s="1"/>
  <c r="AC38" i="82"/>
  <c r="P275" i="41"/>
  <c r="P280" i="41" s="1"/>
  <c r="P285" i="41" s="1"/>
  <c r="P363" i="41" s="1"/>
  <c r="P365" i="41" s="1"/>
  <c r="P367" i="41" s="1"/>
  <c r="P369" i="41" s="1"/>
  <c r="P394" i="41" s="1"/>
  <c r="P250" i="41"/>
  <c r="P405" i="41"/>
  <c r="P414" i="41" s="1"/>
  <c r="P33" i="65" s="1"/>
  <c r="P111" i="65" s="1"/>
  <c r="P269" i="41"/>
  <c r="P252" i="41"/>
  <c r="P273" i="41"/>
  <c r="P278" i="41" s="1"/>
  <c r="P283" i="41" s="1"/>
  <c r="P404" i="41"/>
  <c r="P413" i="41" s="1"/>
  <c r="P32" i="65" s="1"/>
  <c r="P110" i="65" s="1"/>
  <c r="P268" i="41"/>
  <c r="P251" i="41"/>
  <c r="P270" i="41"/>
  <c r="P274" i="41"/>
  <c r="P279" i="41" s="1"/>
  <c r="P284" i="41" s="1"/>
  <c r="P406" i="41"/>
  <c r="P415" i="41" s="1"/>
  <c r="P34" i="65" s="1"/>
  <c r="P112" i="65" s="1"/>
  <c r="AL207" i="105"/>
  <c r="AK80" i="82" s="1"/>
  <c r="AK68" i="82"/>
  <c r="AC123" i="65"/>
  <c r="AC152" i="65" s="1"/>
  <c r="AC57" i="105" s="1"/>
  <c r="AC97" i="105" s="1"/>
  <c r="AC40" i="82"/>
  <c r="AC141" i="65"/>
  <c r="AC170" i="65" s="1"/>
  <c r="AC75" i="105" s="1"/>
  <c r="S251" i="41"/>
  <c r="S406" i="41"/>
  <c r="S415" i="41" s="1"/>
  <c r="S34" i="65" s="1"/>
  <c r="S112" i="65" s="1"/>
  <c r="S268" i="41"/>
  <c r="S274" i="41"/>
  <c r="S273" i="41"/>
  <c r="S404" i="41"/>
  <c r="S413" i="41" s="1"/>
  <c r="S32" i="65" s="1"/>
  <c r="S110" i="65" s="1"/>
  <c r="S269" i="41"/>
  <c r="S405" i="41"/>
  <c r="S414" i="41" s="1"/>
  <c r="S33" i="65" s="1"/>
  <c r="S111" i="65" s="1"/>
  <c r="S270" i="41"/>
  <c r="S275" i="41"/>
  <c r="S250" i="41"/>
  <c r="S252" i="41"/>
  <c r="AB206" i="105"/>
  <c r="AB207" i="105"/>
  <c r="AB80" i="82" s="1"/>
  <c r="AB68" i="82"/>
  <c r="O268" i="41"/>
  <c r="O406" i="41"/>
  <c r="O415" i="41" s="1"/>
  <c r="O34" i="65" s="1"/>
  <c r="O112" i="65" s="1"/>
  <c r="O275" i="41"/>
  <c r="O280" i="41" s="1"/>
  <c r="O285" i="41" s="1"/>
  <c r="O363" i="41" s="1"/>
  <c r="O365" i="41" s="1"/>
  <c r="O367" i="41" s="1"/>
  <c r="O369" i="41" s="1"/>
  <c r="O394" i="41" s="1"/>
  <c r="O252" i="41"/>
  <c r="O270" i="41"/>
  <c r="O274" i="41"/>
  <c r="O279" i="41" s="1"/>
  <c r="O284" i="41" s="1"/>
  <c r="O269" i="41"/>
  <c r="O251" i="41"/>
  <c r="O273" i="41"/>
  <c r="O278" i="41" s="1"/>
  <c r="O283" i="41" s="1"/>
  <c r="O404" i="41"/>
  <c r="O413" i="41" s="1"/>
  <c r="O32" i="65" s="1"/>
  <c r="O110" i="65" s="1"/>
  <c r="O405" i="41"/>
  <c r="O414" i="41" s="1"/>
  <c r="O33" i="65" s="1"/>
  <c r="O111" i="65" s="1"/>
  <c r="O250" i="41"/>
  <c r="AD331" i="41"/>
  <c r="AD333" i="41" s="1"/>
  <c r="AD335" i="41" s="1"/>
  <c r="AD337" i="41" s="1"/>
  <c r="AD393" i="41" s="1"/>
  <c r="AD121" i="65"/>
  <c r="AD150" i="65" s="1"/>
  <c r="AD55" i="105" s="1"/>
  <c r="AD95" i="105" s="1"/>
  <c r="AD139" i="65"/>
  <c r="AD168" i="65" s="1"/>
  <c r="AD73" i="105" s="1"/>
  <c r="AD38" i="82"/>
  <c r="M250" i="41"/>
  <c r="M273" i="41"/>
  <c r="M278" i="41" s="1"/>
  <c r="M283" i="41" s="1"/>
  <c r="M251" i="41"/>
  <c r="M406" i="41"/>
  <c r="M415" i="41" s="1"/>
  <c r="M34" i="65" s="1"/>
  <c r="M112" i="65" s="1"/>
  <c r="M275" i="41"/>
  <c r="M280" i="41" s="1"/>
  <c r="M285" i="41" s="1"/>
  <c r="M363" i="41" s="1"/>
  <c r="M365" i="41" s="1"/>
  <c r="M367" i="41" s="1"/>
  <c r="M369" i="41" s="1"/>
  <c r="M394" i="41" s="1"/>
  <c r="M404" i="41"/>
  <c r="M413" i="41" s="1"/>
  <c r="M32" i="65" s="1"/>
  <c r="M110" i="65" s="1"/>
  <c r="M270" i="41"/>
  <c r="M405" i="41"/>
  <c r="M414" i="41" s="1"/>
  <c r="M33" i="65" s="1"/>
  <c r="M111" i="65" s="1"/>
  <c r="M268" i="41"/>
  <c r="M269" i="41"/>
  <c r="M252" i="41"/>
  <c r="M274" i="41"/>
  <c r="M279" i="41" s="1"/>
  <c r="M284" i="41" s="1"/>
  <c r="Y122" i="65"/>
  <c r="Y151" i="65" s="1"/>
  <c r="Y56" i="105" s="1"/>
  <c r="Y96" i="105" s="1"/>
  <c r="Y140" i="65"/>
  <c r="Y169" i="65" s="1"/>
  <c r="Y74" i="105" s="1"/>
  <c r="Y39" i="82"/>
  <c r="AH206" i="105"/>
  <c r="AH79" i="82" s="1"/>
  <c r="AH68" i="82"/>
  <c r="U273" i="41"/>
  <c r="U252" i="41"/>
  <c r="U250" i="41"/>
  <c r="U404" i="41"/>
  <c r="U413" i="41" s="1"/>
  <c r="U32" i="65" s="1"/>
  <c r="U110" i="65" s="1"/>
  <c r="U274" i="41"/>
  <c r="U270" i="41"/>
  <c r="U405" i="41"/>
  <c r="U414" i="41" s="1"/>
  <c r="U33" i="65" s="1"/>
  <c r="U111" i="65" s="1"/>
  <c r="U268" i="41"/>
  <c r="U251" i="41"/>
  <c r="U269" i="41"/>
  <c r="U406" i="41"/>
  <c r="U415" i="41" s="1"/>
  <c r="U34" i="65" s="1"/>
  <c r="U112" i="65" s="1"/>
  <c r="U275" i="41"/>
  <c r="AD140" i="65"/>
  <c r="AD169" i="65" s="1"/>
  <c r="AD74" i="105" s="1"/>
  <c r="AD39" i="82"/>
  <c r="AD122" i="65"/>
  <c r="AD151" i="65" s="1"/>
  <c r="AD56" i="105" s="1"/>
  <c r="AD96" i="105" s="1"/>
  <c r="J268" i="41"/>
  <c r="J275" i="41"/>
  <c r="J280" i="41" s="1"/>
  <c r="J285" i="41" s="1"/>
  <c r="J363" i="41" s="1"/>
  <c r="J365" i="41" s="1"/>
  <c r="J367" i="41" s="1"/>
  <c r="J369" i="41" s="1"/>
  <c r="J394" i="41" s="1"/>
  <c r="J269" i="41"/>
  <c r="J406" i="41"/>
  <c r="J415" i="41" s="1"/>
  <c r="J34" i="65" s="1"/>
  <c r="J112" i="65" s="1"/>
  <c r="J270" i="41"/>
  <c r="J252" i="41"/>
  <c r="J251" i="41"/>
  <c r="J405" i="41"/>
  <c r="J414" i="41" s="1"/>
  <c r="J33" i="65" s="1"/>
  <c r="J111" i="65" s="1"/>
  <c r="J250" i="41"/>
  <c r="J274" i="41"/>
  <c r="J279" i="41" s="1"/>
  <c r="J284" i="41" s="1"/>
  <c r="J273" i="41"/>
  <c r="J278" i="41" s="1"/>
  <c r="J283" i="41" s="1"/>
  <c r="J404" i="41"/>
  <c r="J413" i="41" s="1"/>
  <c r="J32" i="65" s="1"/>
  <c r="AA278" i="41" l="1"/>
  <c r="AA283" i="41" s="1"/>
  <c r="AG68" i="82"/>
  <c r="AG207" i="105"/>
  <c r="AG80" i="82" s="1"/>
  <c r="AC299" i="41"/>
  <c r="AC305" i="41" s="1"/>
  <c r="AC392" i="41" s="1"/>
  <c r="AC331" i="41"/>
  <c r="AC333" i="41" s="1"/>
  <c r="AC335" i="41" s="1"/>
  <c r="AC337" i="41" s="1"/>
  <c r="AC393" i="41" s="1"/>
  <c r="V40" i="82"/>
  <c r="V123" i="65"/>
  <c r="V152" i="65" s="1"/>
  <c r="V57" i="105" s="1"/>
  <c r="V97" i="105" s="1"/>
  <c r="V132" i="65"/>
  <c r="V161" i="65" s="1"/>
  <c r="V66" i="105" s="1"/>
  <c r="V184" i="105" s="1"/>
  <c r="AD365" i="41"/>
  <c r="AD367" i="41" s="1"/>
  <c r="AD369" i="41" s="1"/>
  <c r="AD394" i="41" s="1"/>
  <c r="V280" i="41"/>
  <c r="V285" i="41" s="1"/>
  <c r="V363" i="41" s="1"/>
  <c r="V140" i="65"/>
  <c r="V169" i="65" s="1"/>
  <c r="V74" i="105" s="1"/>
  <c r="V194" i="105" s="1"/>
  <c r="V39" i="82"/>
  <c r="V122" i="65"/>
  <c r="V151" i="65" s="1"/>
  <c r="V56" i="105" s="1"/>
  <c r="V96" i="105" s="1"/>
  <c r="AG206" i="105"/>
  <c r="AG79" i="82" s="1"/>
  <c r="V38" i="82"/>
  <c r="J331" i="41"/>
  <c r="J333" i="41" s="1"/>
  <c r="J335" i="41" s="1"/>
  <c r="J337" i="41" s="1"/>
  <c r="J393" i="41" s="1"/>
  <c r="V130" i="65"/>
  <c r="V159" i="65" s="1"/>
  <c r="V64" i="105" s="1"/>
  <c r="V182" i="105" s="1"/>
  <c r="T280" i="41"/>
  <c r="T285" i="41" s="1"/>
  <c r="T363" i="41" s="1"/>
  <c r="Y365" i="41" s="1"/>
  <c r="Y367" i="41" s="1"/>
  <c r="Y369" i="41" s="1"/>
  <c r="Y394" i="41" s="1"/>
  <c r="V139" i="65"/>
  <c r="V168" i="65" s="1"/>
  <c r="V73" i="105" s="1"/>
  <c r="V115" i="105" s="1"/>
  <c r="V279" i="41"/>
  <c r="V284" i="41" s="1"/>
  <c r="AA38" i="82"/>
  <c r="AA121" i="65"/>
  <c r="AA150" i="65" s="1"/>
  <c r="AA55" i="105" s="1"/>
  <c r="AA95" i="105" s="1"/>
  <c r="T279" i="41"/>
  <c r="T284" i="41" s="1"/>
  <c r="T132" i="65"/>
  <c r="T161" i="65" s="1"/>
  <c r="T66" i="105" s="1"/>
  <c r="T184" i="105" s="1"/>
  <c r="T122" i="65"/>
  <c r="T151" i="65" s="1"/>
  <c r="T56" i="105" s="1"/>
  <c r="T96" i="105" s="1"/>
  <c r="T121" i="65"/>
  <c r="T150" i="65" s="1"/>
  <c r="T55" i="105" s="1"/>
  <c r="T95" i="105" s="1"/>
  <c r="T131" i="65"/>
  <c r="T160" i="65" s="1"/>
  <c r="T65" i="105" s="1"/>
  <c r="T183" i="105" s="1"/>
  <c r="AA280" i="41"/>
  <c r="AA285" i="41" s="1"/>
  <c r="AA363" i="41" s="1"/>
  <c r="T139" i="65"/>
  <c r="T168" i="65" s="1"/>
  <c r="T73" i="105" s="1"/>
  <c r="T115" i="105" s="1"/>
  <c r="T38" i="82"/>
  <c r="T40" i="82"/>
  <c r="T140" i="65"/>
  <c r="T169" i="65" s="1"/>
  <c r="T74" i="105" s="1"/>
  <c r="T116" i="105" s="1"/>
  <c r="T141" i="65"/>
  <c r="T170" i="65" s="1"/>
  <c r="T75" i="105" s="1"/>
  <c r="T195" i="105" s="1"/>
  <c r="V278" i="41"/>
  <c r="V283" i="41" s="1"/>
  <c r="AA39" i="82"/>
  <c r="AA122" i="65"/>
  <c r="AA151" i="65" s="1"/>
  <c r="AA56" i="105" s="1"/>
  <c r="AA96" i="105" s="1"/>
  <c r="AG141" i="105"/>
  <c r="AG142" i="105"/>
  <c r="AE299" i="41"/>
  <c r="AE301" i="41" s="1"/>
  <c r="AE303" i="41" s="1"/>
  <c r="P331" i="41"/>
  <c r="P333" i="41" s="1"/>
  <c r="P335" i="41" s="1"/>
  <c r="P337" i="41" s="1"/>
  <c r="P393" i="41" s="1"/>
  <c r="M331" i="41"/>
  <c r="M333" i="41" s="1"/>
  <c r="M335" i="41" s="1"/>
  <c r="M337" i="41" s="1"/>
  <c r="M393" i="41" s="1"/>
  <c r="J299" i="41"/>
  <c r="J305" i="41" s="1"/>
  <c r="J392" i="41" s="1"/>
  <c r="Y331" i="41"/>
  <c r="P299" i="41"/>
  <c r="P305" i="41" s="1"/>
  <c r="P392" i="41" s="1"/>
  <c r="M299" i="41"/>
  <c r="M305" i="41" s="1"/>
  <c r="M392" i="41" s="1"/>
  <c r="AC102" i="105"/>
  <c r="Y299" i="41"/>
  <c r="Y305" i="41" s="1"/>
  <c r="Y392" i="41" s="1"/>
  <c r="N299" i="41"/>
  <c r="N301" i="41" s="1"/>
  <c r="N303" i="41" s="1"/>
  <c r="AA259" i="41" a="1"/>
  <c r="AA259" i="41" s="1"/>
  <c r="AA264" i="41" s="1"/>
  <c r="AD260" i="41" a="1"/>
  <c r="AD260" i="41" s="1"/>
  <c r="AD265" i="41" s="1"/>
  <c r="AD342" i="41" s="1"/>
  <c r="AO260" i="41" a="1"/>
  <c r="AO260" i="41" s="1"/>
  <c r="AO265" i="41" s="1"/>
  <c r="AO401" i="41" s="1"/>
  <c r="S279" i="41"/>
  <c r="S284" i="41" s="1"/>
  <c r="X279" i="41"/>
  <c r="X284" i="41" s="1"/>
  <c r="AC194" i="105"/>
  <c r="AC116" i="105"/>
  <c r="V117" i="105"/>
  <c r="V195" i="105"/>
  <c r="AF121" i="65"/>
  <c r="AF150" i="65" s="1"/>
  <c r="AF55" i="105" s="1"/>
  <c r="AF95" i="105" s="1"/>
  <c r="AF139" i="65"/>
  <c r="AF168" i="65" s="1"/>
  <c r="AF73" i="105" s="1"/>
  <c r="AF38" i="82"/>
  <c r="J132" i="65"/>
  <c r="J161" i="65" s="1"/>
  <c r="J66" i="105" s="1"/>
  <c r="J40" i="82"/>
  <c r="J141" i="65"/>
  <c r="J170" i="65" s="1"/>
  <c r="J75" i="105" s="1"/>
  <c r="J123" i="65"/>
  <c r="J152" i="65" s="1"/>
  <c r="J57" i="105" s="1"/>
  <c r="J97" i="105" s="1"/>
  <c r="U278" i="41"/>
  <c r="U283" i="41" s="1"/>
  <c r="Z278" i="41"/>
  <c r="Z283" i="41" s="1"/>
  <c r="O38" i="82"/>
  <c r="O121" i="65"/>
  <c r="O150" i="65" s="1"/>
  <c r="O55" i="105" s="1"/>
  <c r="O95" i="105" s="1"/>
  <c r="O139" i="65"/>
  <c r="O168" i="65" s="1"/>
  <c r="O73" i="105" s="1"/>
  <c r="O130" i="65"/>
  <c r="O159" i="65" s="1"/>
  <c r="O64" i="105" s="1"/>
  <c r="P38" i="82"/>
  <c r="P121" i="65"/>
  <c r="P150" i="65" s="1"/>
  <c r="P55" i="105" s="1"/>
  <c r="P95" i="105" s="1"/>
  <c r="P130" i="65"/>
  <c r="P159" i="65" s="1"/>
  <c r="P64" i="105" s="1"/>
  <c r="P139" i="65"/>
  <c r="P168" i="65" s="1"/>
  <c r="P73" i="105" s="1"/>
  <c r="S40" i="82"/>
  <c r="S123" i="65"/>
  <c r="S152" i="65" s="1"/>
  <c r="S57" i="105" s="1"/>
  <c r="S97" i="105" s="1"/>
  <c r="S141" i="65"/>
  <c r="S170" i="65" s="1"/>
  <c r="S75" i="105" s="1"/>
  <c r="S132" i="65"/>
  <c r="S161" i="65" s="1"/>
  <c r="S66" i="105" s="1"/>
  <c r="AC117" i="105"/>
  <c r="AC195" i="105"/>
  <c r="U39" i="82"/>
  <c r="U122" i="65"/>
  <c r="U151" i="65" s="1"/>
  <c r="U56" i="105" s="1"/>
  <c r="U96" i="105" s="1"/>
  <c r="U131" i="65"/>
  <c r="U160" i="65" s="1"/>
  <c r="U65" i="105" s="1"/>
  <c r="U140" i="65"/>
  <c r="U169" i="65" s="1"/>
  <c r="U74" i="105" s="1"/>
  <c r="M39" i="82"/>
  <c r="M140" i="65"/>
  <c r="M169" i="65" s="1"/>
  <c r="M74" i="105" s="1"/>
  <c r="M131" i="65"/>
  <c r="M160" i="65" s="1"/>
  <c r="M65" i="105" s="1"/>
  <c r="M122" i="65"/>
  <c r="M151" i="65" s="1"/>
  <c r="M56" i="105" s="1"/>
  <c r="M96" i="105" s="1"/>
  <c r="AF299" i="41"/>
  <c r="N40" i="82"/>
  <c r="N132" i="65"/>
  <c r="N161" i="65" s="1"/>
  <c r="N66" i="105" s="1"/>
  <c r="N141" i="65"/>
  <c r="N170" i="65" s="1"/>
  <c r="N75" i="105" s="1"/>
  <c r="N123" i="65"/>
  <c r="N152" i="65" s="1"/>
  <c r="N57" i="105" s="1"/>
  <c r="N97" i="105" s="1"/>
  <c r="O39" i="82"/>
  <c r="O131" i="65"/>
  <c r="O160" i="65" s="1"/>
  <c r="O65" i="105" s="1"/>
  <c r="O122" i="65"/>
  <c r="O151" i="65" s="1"/>
  <c r="O56" i="105" s="1"/>
  <c r="O96" i="105" s="1"/>
  <c r="O140" i="65"/>
  <c r="O169" i="65" s="1"/>
  <c r="O74" i="105" s="1"/>
  <c r="J110" i="65"/>
  <c r="U260" i="41" a="1"/>
  <c r="U260" i="41" s="1"/>
  <c r="U265" i="41" s="1"/>
  <c r="R258" i="41" a="1"/>
  <c r="R258" i="41" s="1"/>
  <c r="R263" i="41" s="1"/>
  <c r="X280" i="41"/>
  <c r="X285" i="41" s="1"/>
  <c r="X363" i="41" s="1"/>
  <c r="S280" i="41"/>
  <c r="S285" i="41" s="1"/>
  <c r="S363" i="41" s="1"/>
  <c r="AC193" i="105"/>
  <c r="AC115" i="105"/>
  <c r="AF123" i="65"/>
  <c r="AF152" i="65" s="1"/>
  <c r="AF57" i="105" s="1"/>
  <c r="AF97" i="105" s="1"/>
  <c r="AF40" i="82"/>
  <c r="AF141" i="65"/>
  <c r="AF170" i="65" s="1"/>
  <c r="AF75" i="105" s="1"/>
  <c r="X139" i="65"/>
  <c r="X168" i="65" s="1"/>
  <c r="X73" i="105" s="1"/>
  <c r="X38" i="82"/>
  <c r="X121" i="65"/>
  <c r="X150" i="65" s="1"/>
  <c r="X55" i="105" s="1"/>
  <c r="X95" i="105" s="1"/>
  <c r="Z141" i="65"/>
  <c r="Z170" i="65" s="1"/>
  <c r="Z75" i="105" s="1"/>
  <c r="Z40" i="82"/>
  <c r="Z123" i="65"/>
  <c r="Z152" i="65" s="1"/>
  <c r="Z57" i="105" s="1"/>
  <c r="Z97" i="105" s="1"/>
  <c r="AE122" i="65"/>
  <c r="AE151" i="65" s="1"/>
  <c r="AE56" i="105" s="1"/>
  <c r="AE96" i="105" s="1"/>
  <c r="AE140" i="65"/>
  <c r="AE169" i="65" s="1"/>
  <c r="AE74" i="105" s="1"/>
  <c r="AE39" i="82"/>
  <c r="AM258" i="41" a="1"/>
  <c r="AM258" i="41" s="1"/>
  <c r="AM263" i="41" s="1"/>
  <c r="P258" i="41" a="1"/>
  <c r="P258" i="41" s="1"/>
  <c r="P263" i="41" s="1"/>
  <c r="AF258" i="41" a="1"/>
  <c r="AF258" i="41" s="1"/>
  <c r="AF263" i="41" s="1"/>
  <c r="AI258" i="41" a="1"/>
  <c r="AI258" i="41" s="1"/>
  <c r="AI263" i="41" s="1"/>
  <c r="AA258" i="41" a="1"/>
  <c r="AA258" i="41" s="1"/>
  <c r="AA263" i="41" s="1"/>
  <c r="AE258" i="41" a="1"/>
  <c r="AE258" i="41" s="1"/>
  <c r="AE263" i="41" s="1"/>
  <c r="AB258" i="41" a="1"/>
  <c r="AB258" i="41" s="1"/>
  <c r="AB263" i="41" s="1"/>
  <c r="AG258" i="41" a="1"/>
  <c r="AG258" i="41" s="1"/>
  <c r="AG263" i="41" s="1"/>
  <c r="Z258" i="41" a="1"/>
  <c r="Z258" i="41" s="1"/>
  <c r="Z263" i="41" s="1"/>
  <c r="AJ258" i="41" a="1"/>
  <c r="AJ258" i="41" s="1"/>
  <c r="AJ263" i="41" s="1"/>
  <c r="AO258" i="41" a="1"/>
  <c r="AO258" i="41" s="1"/>
  <c r="AO263" i="41" s="1"/>
  <c r="V258" i="41" a="1"/>
  <c r="V258" i="41" s="1"/>
  <c r="V263" i="41" s="1"/>
  <c r="K258" i="41" a="1"/>
  <c r="K258" i="41" s="1"/>
  <c r="K263" i="41" s="1"/>
  <c r="W258" i="41" a="1"/>
  <c r="W258" i="41" s="1"/>
  <c r="W263" i="41" s="1"/>
  <c r="AL258" i="41" a="1"/>
  <c r="AL258" i="41" s="1"/>
  <c r="AL263" i="41" s="1"/>
  <c r="N258" i="41" a="1"/>
  <c r="N258" i="41" s="1"/>
  <c r="N263" i="41" s="1"/>
  <c r="AH258" i="41" a="1"/>
  <c r="AH258" i="41" s="1"/>
  <c r="AH263" i="41" s="1"/>
  <c r="X258" i="41" a="1"/>
  <c r="X258" i="41" s="1"/>
  <c r="X263" i="41" s="1"/>
  <c r="O258" i="41" a="1"/>
  <c r="O258" i="41" s="1"/>
  <c r="O263" i="41" s="1"/>
  <c r="AD258" i="41" a="1"/>
  <c r="AD258" i="41" s="1"/>
  <c r="AD263" i="41" s="1"/>
  <c r="AK258" i="41" a="1"/>
  <c r="AK258" i="41" s="1"/>
  <c r="AK263" i="41" s="1"/>
  <c r="T258" i="41" a="1"/>
  <c r="T258" i="41" s="1"/>
  <c r="T263" i="41" s="1"/>
  <c r="AN258" i="41" a="1"/>
  <c r="AN258" i="41" s="1"/>
  <c r="AN263" i="41" s="1"/>
  <c r="S258" i="41" a="1"/>
  <c r="S258" i="41" s="1"/>
  <c r="S263" i="41" s="1"/>
  <c r="Q258" i="41" a="1"/>
  <c r="Q258" i="41" s="1"/>
  <c r="Q263" i="41" s="1"/>
  <c r="AC258" i="41" a="1"/>
  <c r="AC258" i="41" s="1"/>
  <c r="AC263" i="41" s="1"/>
  <c r="L258" i="41" a="1"/>
  <c r="L258" i="41" s="1"/>
  <c r="L263" i="41" s="1"/>
  <c r="J258" i="41" a="1"/>
  <c r="J258" i="41" s="1"/>
  <c r="J263" i="41" s="1"/>
  <c r="M258" i="41" a="1"/>
  <c r="M258" i="41" s="1"/>
  <c r="M263" i="41" s="1"/>
  <c r="Y258" i="41" a="1"/>
  <c r="Y258" i="41" s="1"/>
  <c r="Y263" i="41" s="1"/>
  <c r="AD193" i="105"/>
  <c r="AD115" i="105"/>
  <c r="S122" i="65"/>
  <c r="S151" i="65" s="1"/>
  <c r="S56" i="105" s="1"/>
  <c r="S96" i="105" s="1"/>
  <c r="S131" i="65"/>
  <c r="S160" i="65" s="1"/>
  <c r="S65" i="105" s="1"/>
  <c r="S39" i="82"/>
  <c r="S140" i="65"/>
  <c r="S169" i="65" s="1"/>
  <c r="S74" i="105" s="1"/>
  <c r="P123" i="65"/>
  <c r="P152" i="65" s="1"/>
  <c r="P57" i="105" s="1"/>
  <c r="P97" i="105" s="1"/>
  <c r="P141" i="65"/>
  <c r="P170" i="65" s="1"/>
  <c r="P75" i="105" s="1"/>
  <c r="P40" i="82"/>
  <c r="P132" i="65"/>
  <c r="P161" i="65" s="1"/>
  <c r="P66" i="105" s="1"/>
  <c r="Y115" i="105"/>
  <c r="Y193" i="105"/>
  <c r="AF331" i="41"/>
  <c r="AF333" i="41" s="1"/>
  <c r="AF335" i="41" s="1"/>
  <c r="AF337" i="41" s="1"/>
  <c r="AF393" i="41" s="1"/>
  <c r="X140" i="65"/>
  <c r="X169" i="65" s="1"/>
  <c r="X74" i="105" s="1"/>
  <c r="X39" i="82"/>
  <c r="X122" i="65"/>
  <c r="X151" i="65" s="1"/>
  <c r="X56" i="105" s="1"/>
  <c r="X96" i="105" s="1"/>
  <c r="AE121" i="65"/>
  <c r="AE150" i="65" s="1"/>
  <c r="AE55" i="105" s="1"/>
  <c r="AE95" i="105" s="1"/>
  <c r="AE38" i="82"/>
  <c r="AE139" i="65"/>
  <c r="AE168" i="65" s="1"/>
  <c r="AE73" i="105" s="1"/>
  <c r="J131" i="65"/>
  <c r="J160" i="65" s="1"/>
  <c r="J65" i="105" s="1"/>
  <c r="J140" i="65"/>
  <c r="J169" i="65" s="1"/>
  <c r="J74" i="105" s="1"/>
  <c r="J39" i="82"/>
  <c r="J122" i="65"/>
  <c r="J151" i="65" s="1"/>
  <c r="J56" i="105" s="1"/>
  <c r="J96" i="105" s="1"/>
  <c r="Z279" i="41"/>
  <c r="Z284" i="41" s="1"/>
  <c r="U279" i="41"/>
  <c r="U284" i="41" s="1"/>
  <c r="M139" i="65"/>
  <c r="M168" i="65" s="1"/>
  <c r="M73" i="105" s="1"/>
  <c r="M130" i="65"/>
  <c r="M159" i="65" s="1"/>
  <c r="M64" i="105" s="1"/>
  <c r="M121" i="65"/>
  <c r="M150" i="65" s="1"/>
  <c r="M55" i="105" s="1"/>
  <c r="M95" i="105" s="1"/>
  <c r="M38" i="82"/>
  <c r="AD102" i="105"/>
  <c r="O331" i="41"/>
  <c r="O333" i="41" s="1"/>
  <c r="O335" i="41" s="1"/>
  <c r="O337" i="41" s="1"/>
  <c r="O393" i="41" s="1"/>
  <c r="P39" i="82"/>
  <c r="P122" i="65"/>
  <c r="P151" i="65" s="1"/>
  <c r="P56" i="105" s="1"/>
  <c r="P96" i="105" s="1"/>
  <c r="P140" i="65"/>
  <c r="P169" i="65" s="1"/>
  <c r="P74" i="105" s="1"/>
  <c r="P131" i="65"/>
  <c r="P160" i="65" s="1"/>
  <c r="P65" i="105" s="1"/>
  <c r="Y102" i="105"/>
  <c r="N121" i="65"/>
  <c r="N150" i="65" s="1"/>
  <c r="N55" i="105" s="1"/>
  <c r="N95" i="105" s="1"/>
  <c r="N130" i="65"/>
  <c r="N159" i="65" s="1"/>
  <c r="N64" i="105" s="1"/>
  <c r="N139" i="65"/>
  <c r="N168" i="65" s="1"/>
  <c r="N73" i="105" s="1"/>
  <c r="N38" i="82"/>
  <c r="Z39" i="82"/>
  <c r="Z122" i="65"/>
  <c r="Z151" i="65" s="1"/>
  <c r="Z56" i="105" s="1"/>
  <c r="Z96" i="105" s="1"/>
  <c r="Z140" i="65"/>
  <c r="Z169" i="65" s="1"/>
  <c r="Z74" i="105" s="1"/>
  <c r="Z121" i="65"/>
  <c r="Z150" i="65" s="1"/>
  <c r="Z55" i="105" s="1"/>
  <c r="Z95" i="105" s="1"/>
  <c r="Z139" i="65"/>
  <c r="Z168" i="65" s="1"/>
  <c r="Z73" i="105" s="1"/>
  <c r="Z38" i="82"/>
  <c r="Y195" i="105"/>
  <c r="Y117" i="105"/>
  <c r="O40" i="82"/>
  <c r="O132" i="65"/>
  <c r="O161" i="65" s="1"/>
  <c r="O66" i="105" s="1"/>
  <c r="O123" i="65"/>
  <c r="O152" i="65" s="1"/>
  <c r="O57" i="105" s="1"/>
  <c r="O97" i="105" s="1"/>
  <c r="O141" i="65"/>
  <c r="O170" i="65" s="1"/>
  <c r="O75" i="105" s="1"/>
  <c r="AA115" i="105"/>
  <c r="AA193" i="105"/>
  <c r="X123" i="65"/>
  <c r="X152" i="65" s="1"/>
  <c r="X57" i="105" s="1"/>
  <c r="X97" i="105" s="1"/>
  <c r="X40" i="82"/>
  <c r="X141" i="65"/>
  <c r="X170" i="65" s="1"/>
  <c r="X75" i="105" s="1"/>
  <c r="J259" i="41" a="1"/>
  <c r="J259" i="41" s="1"/>
  <c r="J264" i="41" s="1"/>
  <c r="W259" i="41" a="1"/>
  <c r="W259" i="41" s="1"/>
  <c r="W264" i="41" s="1"/>
  <c r="W400" i="41" s="1"/>
  <c r="K259" i="41" a="1"/>
  <c r="K259" i="41" s="1"/>
  <c r="K264" i="41" s="1"/>
  <c r="K400" i="41" s="1"/>
  <c r="AM259" i="41" a="1"/>
  <c r="AM259" i="41" s="1"/>
  <c r="AM264" i="41" s="1"/>
  <c r="AM400" i="41" s="1"/>
  <c r="L259" i="41" a="1"/>
  <c r="L259" i="41" s="1"/>
  <c r="L264" i="41" s="1"/>
  <c r="L400" i="41" s="1"/>
  <c r="AC259" i="41" a="1"/>
  <c r="AC259" i="41" s="1"/>
  <c r="AC264" i="41" s="1"/>
  <c r="S259" i="41" a="1"/>
  <c r="S259" i="41" s="1"/>
  <c r="S264" i="41" s="1"/>
  <c r="AK259" i="41" a="1"/>
  <c r="AK259" i="41" s="1"/>
  <c r="AK264" i="41" s="1"/>
  <c r="AK400" i="41" s="1"/>
  <c r="AF259" i="41" a="1"/>
  <c r="AF259" i="41" s="1"/>
  <c r="AF264" i="41" s="1"/>
  <c r="AJ259" i="41" a="1"/>
  <c r="AJ259" i="41" s="1"/>
  <c r="AJ264" i="41" s="1"/>
  <c r="AJ400" i="41" s="1"/>
  <c r="X259" i="41" a="1"/>
  <c r="X259" i="41" s="1"/>
  <c r="X264" i="41" s="1"/>
  <c r="V259" i="41" a="1"/>
  <c r="V259" i="41" s="1"/>
  <c r="V264" i="41" s="1"/>
  <c r="P259" i="41" a="1"/>
  <c r="P259" i="41" s="1"/>
  <c r="P264" i="41" s="1"/>
  <c r="O259" i="41" a="1"/>
  <c r="O259" i="41" s="1"/>
  <c r="O264" i="41" s="1"/>
  <c r="N259" i="41" a="1"/>
  <c r="N259" i="41" s="1"/>
  <c r="N264" i="41" s="1"/>
  <c r="Q259" i="41" a="1"/>
  <c r="Q259" i="41" s="1"/>
  <c r="Q264" i="41" s="1"/>
  <c r="Q400" i="41" s="1"/>
  <c r="T259" i="41" a="1"/>
  <c r="T259" i="41" s="1"/>
  <c r="T264" i="41" s="1"/>
  <c r="AG259" i="41" a="1"/>
  <c r="AG259" i="41" s="1"/>
  <c r="AG264" i="41" s="1"/>
  <c r="Z259" i="41" a="1"/>
  <c r="Z259" i="41" s="1"/>
  <c r="Z264" i="41" s="1"/>
  <c r="AI259" i="41" a="1"/>
  <c r="AI259" i="41" s="1"/>
  <c r="AI264" i="41" s="1"/>
  <c r="AI400" i="41" s="1"/>
  <c r="AE259" i="41" a="1"/>
  <c r="AE259" i="41" s="1"/>
  <c r="AE264" i="41" s="1"/>
  <c r="AO259" i="41" a="1"/>
  <c r="AO259" i="41" s="1"/>
  <c r="AO264" i="41" s="1"/>
  <c r="AO400" i="41" s="1"/>
  <c r="R259" i="41" a="1"/>
  <c r="R259" i="41" s="1"/>
  <c r="R264" i="41" s="1"/>
  <c r="R400" i="41" s="1"/>
  <c r="M259" i="41" a="1"/>
  <c r="M259" i="41" s="1"/>
  <c r="M264" i="41" s="1"/>
  <c r="AB259" i="41" a="1"/>
  <c r="AB259" i="41" s="1"/>
  <c r="AB264" i="41" s="1"/>
  <c r="AB400" i="41" s="1"/>
  <c r="Y259" i="41" a="1"/>
  <c r="Y259" i="41" s="1"/>
  <c r="Y264" i="41" s="1"/>
  <c r="AH259" i="41" a="1"/>
  <c r="AH259" i="41" s="1"/>
  <c r="AH264" i="41" s="1"/>
  <c r="AH400" i="41" s="1"/>
  <c r="AL259" i="41" a="1"/>
  <c r="AL259" i="41" s="1"/>
  <c r="AL264" i="41" s="1"/>
  <c r="AL400" i="41" s="1"/>
  <c r="U259" i="41" a="1"/>
  <c r="U259" i="41" s="1"/>
  <c r="U264" i="41" s="1"/>
  <c r="AN259" i="41" a="1"/>
  <c r="AN259" i="41" s="1"/>
  <c r="AN264" i="41" s="1"/>
  <c r="AN400" i="41" s="1"/>
  <c r="AD259" i="41" a="1"/>
  <c r="AD259" i="41" s="1"/>
  <c r="AD264" i="41" s="1"/>
  <c r="U280" i="41"/>
  <c r="U285" i="41" s="1"/>
  <c r="U363" i="41" s="1"/>
  <c r="Z280" i="41"/>
  <c r="Z285" i="41" s="1"/>
  <c r="Z363" i="41" s="1"/>
  <c r="U38" i="82"/>
  <c r="U130" i="65"/>
  <c r="U159" i="65" s="1"/>
  <c r="U64" i="105" s="1"/>
  <c r="U139" i="65"/>
  <c r="U168" i="65" s="1"/>
  <c r="U73" i="105" s="1"/>
  <c r="U121" i="65"/>
  <c r="U150" i="65" s="1"/>
  <c r="U55" i="105" s="1"/>
  <c r="U95" i="105" s="1"/>
  <c r="Y194" i="105"/>
  <c r="Y116" i="105"/>
  <c r="T182" i="105"/>
  <c r="T105" i="105"/>
  <c r="S121" i="65"/>
  <c r="S150" i="65" s="1"/>
  <c r="S55" i="105" s="1"/>
  <c r="S95" i="105" s="1"/>
  <c r="S139" i="65"/>
  <c r="S168" i="65" s="1"/>
  <c r="S73" i="105" s="1"/>
  <c r="S130" i="65"/>
  <c r="S159" i="65" s="1"/>
  <c r="S64" i="105" s="1"/>
  <c r="S38" i="82"/>
  <c r="AF39" i="82"/>
  <c r="AF122" i="65"/>
  <c r="AF151" i="65" s="1"/>
  <c r="AF56" i="105" s="1"/>
  <c r="AF96" i="105" s="1"/>
  <c r="AF140" i="65"/>
  <c r="AF169" i="65" s="1"/>
  <c r="AF74" i="105" s="1"/>
  <c r="N331" i="41"/>
  <c r="N333" i="41" s="1"/>
  <c r="N335" i="41" s="1"/>
  <c r="N337" i="41" s="1"/>
  <c r="N393" i="41" s="1"/>
  <c r="N140" i="65"/>
  <c r="N169" i="65" s="1"/>
  <c r="N74" i="105" s="1"/>
  <c r="N131" i="65"/>
  <c r="N160" i="65" s="1"/>
  <c r="N65" i="105" s="1"/>
  <c r="N39" i="82"/>
  <c r="N122" i="65"/>
  <c r="N151" i="65" s="1"/>
  <c r="N56" i="105" s="1"/>
  <c r="N96" i="105" s="1"/>
  <c r="AE331" i="41"/>
  <c r="AE333" i="41" s="1"/>
  <c r="AE335" i="41" s="1"/>
  <c r="AE337" i="41" s="1"/>
  <c r="AE393" i="41" s="1"/>
  <c r="AE123" i="65"/>
  <c r="AE152" i="65" s="1"/>
  <c r="AE57" i="105" s="1"/>
  <c r="AE97" i="105" s="1"/>
  <c r="AE40" i="82"/>
  <c r="AE141" i="65"/>
  <c r="AE170" i="65" s="1"/>
  <c r="AE75" i="105" s="1"/>
  <c r="O299" i="41"/>
  <c r="AD305" i="41"/>
  <c r="AD392" i="41" s="1"/>
  <c r="AD301" i="41"/>
  <c r="AD303" i="41" s="1"/>
  <c r="AK260" i="41" a="1"/>
  <c r="AK260" i="41" s="1"/>
  <c r="AK265" i="41" s="1"/>
  <c r="AK401" i="41" s="1"/>
  <c r="L260" i="41" a="1"/>
  <c r="L260" i="41" s="1"/>
  <c r="L265" i="41" s="1"/>
  <c r="L401" i="41" s="1"/>
  <c r="Q260" i="41" a="1"/>
  <c r="Q260" i="41" s="1"/>
  <c r="Q265" i="41" s="1"/>
  <c r="Q401" i="41" s="1"/>
  <c r="AB260" i="41" a="1"/>
  <c r="AB260" i="41" s="1"/>
  <c r="AB265" i="41" s="1"/>
  <c r="AB401" i="41" s="1"/>
  <c r="Y260" i="41" a="1"/>
  <c r="Y260" i="41" s="1"/>
  <c r="Y265" i="41" s="1"/>
  <c r="AL260" i="41" a="1"/>
  <c r="AL260" i="41" s="1"/>
  <c r="AL265" i="41" s="1"/>
  <c r="AL401" i="41" s="1"/>
  <c r="AH260" i="41" a="1"/>
  <c r="AH260" i="41" s="1"/>
  <c r="AH265" i="41" s="1"/>
  <c r="AH401" i="41" s="1"/>
  <c r="AE260" i="41" a="1"/>
  <c r="AE260" i="41" s="1"/>
  <c r="AE265" i="41" s="1"/>
  <c r="V260" i="41" a="1"/>
  <c r="V260" i="41" s="1"/>
  <c r="V265" i="41" s="1"/>
  <c r="Z260" i="41" a="1"/>
  <c r="Z260" i="41" s="1"/>
  <c r="Z265" i="41" s="1"/>
  <c r="T260" i="41" a="1"/>
  <c r="T260" i="41" s="1"/>
  <c r="T265" i="41" s="1"/>
  <c r="X260" i="41" a="1"/>
  <c r="X260" i="41" s="1"/>
  <c r="X265" i="41" s="1"/>
  <c r="AM260" i="41" a="1"/>
  <c r="AM260" i="41" s="1"/>
  <c r="AM265" i="41" s="1"/>
  <c r="AM401" i="41" s="1"/>
  <c r="K260" i="41" a="1"/>
  <c r="K260" i="41" s="1"/>
  <c r="K265" i="41" s="1"/>
  <c r="K401" i="41" s="1"/>
  <c r="AF260" i="41" a="1"/>
  <c r="AF260" i="41" s="1"/>
  <c r="AF265" i="41" s="1"/>
  <c r="J260" i="41" a="1"/>
  <c r="J260" i="41" s="1"/>
  <c r="J265" i="41" s="1"/>
  <c r="W260" i="41" a="1"/>
  <c r="W260" i="41" s="1"/>
  <c r="W265" i="41" s="1"/>
  <c r="W401" i="41" s="1"/>
  <c r="AC260" i="41" a="1"/>
  <c r="AC260" i="41" s="1"/>
  <c r="AC265" i="41" s="1"/>
  <c r="M260" i="41" a="1"/>
  <c r="M260" i="41" s="1"/>
  <c r="M265" i="41" s="1"/>
  <c r="P260" i="41" a="1"/>
  <c r="P260" i="41" s="1"/>
  <c r="P265" i="41" s="1"/>
  <c r="O260" i="41" a="1"/>
  <c r="O260" i="41" s="1"/>
  <c r="O265" i="41" s="1"/>
  <c r="AI260" i="41" a="1"/>
  <c r="AI260" i="41" s="1"/>
  <c r="AI265" i="41" s="1"/>
  <c r="AI401" i="41" s="1"/>
  <c r="S260" i="41" a="1"/>
  <c r="S260" i="41" s="1"/>
  <c r="S265" i="41" s="1"/>
  <c r="N260" i="41" a="1"/>
  <c r="N260" i="41" s="1"/>
  <c r="N265" i="41" s="1"/>
  <c r="AG260" i="41" a="1"/>
  <c r="AG260" i="41" s="1"/>
  <c r="AG265" i="41" s="1"/>
  <c r="AN260" i="41" a="1"/>
  <c r="AN260" i="41" s="1"/>
  <c r="AN265" i="41" s="1"/>
  <c r="AN401" i="41" s="1"/>
  <c r="R260" i="41" a="1"/>
  <c r="R260" i="41" s="1"/>
  <c r="R265" i="41" s="1"/>
  <c r="R401" i="41" s="1"/>
  <c r="AJ260" i="41" a="1"/>
  <c r="AJ260" i="41" s="1"/>
  <c r="AJ265" i="41" s="1"/>
  <c r="AJ401" i="41" s="1"/>
  <c r="AA260" i="41" a="1"/>
  <c r="AA260" i="41" s="1"/>
  <c r="AA265" i="41" s="1"/>
  <c r="AD116" i="105"/>
  <c r="AD194" i="105"/>
  <c r="U132" i="65"/>
  <c r="U161" i="65" s="1"/>
  <c r="U66" i="105" s="1"/>
  <c r="U141" i="65"/>
  <c r="U170" i="65" s="1"/>
  <c r="U75" i="105" s="1"/>
  <c r="U123" i="65"/>
  <c r="U152" i="65" s="1"/>
  <c r="U57" i="105" s="1"/>
  <c r="U97" i="105" s="1"/>
  <c r="U40" i="82"/>
  <c r="M141" i="65"/>
  <c r="M170" i="65" s="1"/>
  <c r="M75" i="105" s="1"/>
  <c r="M123" i="65"/>
  <c r="M152" i="65" s="1"/>
  <c r="M57" i="105" s="1"/>
  <c r="M97" i="105" s="1"/>
  <c r="M40" i="82"/>
  <c r="M132" i="65"/>
  <c r="M161" i="65" s="1"/>
  <c r="M66" i="105" s="1"/>
  <c r="S278" i="41"/>
  <c r="S283" i="41" s="1"/>
  <c r="X278" i="41"/>
  <c r="X283" i="41" s="1"/>
  <c r="AD195" i="105"/>
  <c r="AD117" i="105"/>
  <c r="V183" i="105"/>
  <c r="V106" i="105"/>
  <c r="U258" i="41" a="1"/>
  <c r="U258" i="41" s="1"/>
  <c r="U263" i="41" s="1"/>
  <c r="AA117" i="105"/>
  <c r="AA195" i="105"/>
  <c r="AA116" i="105"/>
  <c r="AA194" i="105"/>
  <c r="AC301" i="41" l="1"/>
  <c r="AC303" i="41" s="1"/>
  <c r="V102" i="105"/>
  <c r="V107" i="105"/>
  <c r="V116" i="105"/>
  <c r="V122" i="105" s="1"/>
  <c r="AA365" i="41"/>
  <c r="AA367" i="41" s="1"/>
  <c r="AA369" i="41" s="1"/>
  <c r="AA394" i="41" s="1"/>
  <c r="V331" i="41"/>
  <c r="V105" i="105"/>
  <c r="T365" i="41"/>
  <c r="T367" i="41" s="1"/>
  <c r="T369" i="41" s="1"/>
  <c r="T394" i="41" s="1"/>
  <c r="V193" i="105"/>
  <c r="V200" i="105" s="1"/>
  <c r="T331" i="41"/>
  <c r="Y333" i="41" s="1"/>
  <c r="Y335" i="41" s="1"/>
  <c r="Y337" i="41" s="1"/>
  <c r="Y393" i="41" s="1"/>
  <c r="M301" i="41"/>
  <c r="M303" i="41" s="1"/>
  <c r="T299" i="41"/>
  <c r="T301" i="41" s="1"/>
  <c r="T303" i="41" s="1"/>
  <c r="AA102" i="105"/>
  <c r="V299" i="41"/>
  <c r="T102" i="105"/>
  <c r="T107" i="105"/>
  <c r="T106" i="105"/>
  <c r="V365" i="41"/>
  <c r="V367" i="41" s="1"/>
  <c r="V369" i="41" s="1"/>
  <c r="V394" i="41" s="1"/>
  <c r="AA331" i="41"/>
  <c r="AA299" i="41"/>
  <c r="AA305" i="41" s="1"/>
  <c r="AA392" i="41" s="1"/>
  <c r="T194" i="105"/>
  <c r="N305" i="41"/>
  <c r="N392" i="41" s="1"/>
  <c r="T117" i="105"/>
  <c r="T122" i="105" s="1"/>
  <c r="T193" i="105"/>
  <c r="AE305" i="41"/>
  <c r="AE392" i="41" s="1"/>
  <c r="AD374" i="41"/>
  <c r="AD376" i="41" s="1"/>
  <c r="AD387" i="41" s="1"/>
  <c r="J301" i="41"/>
  <c r="J303" i="41" s="1"/>
  <c r="P301" i="41"/>
  <c r="P303" i="41" s="1"/>
  <c r="S299" i="41"/>
  <c r="X299" i="41"/>
  <c r="X305" i="41" s="1"/>
  <c r="X392" i="41" s="1"/>
  <c r="AC140" i="105"/>
  <c r="AC146" i="105"/>
  <c r="AC69" i="82" s="1"/>
  <c r="S102" i="105"/>
  <c r="AD122" i="105"/>
  <c r="AD142" i="105" s="1"/>
  <c r="AD200" i="105"/>
  <c r="AC200" i="105"/>
  <c r="Y374" i="41"/>
  <c r="Y376" i="41" s="1"/>
  <c r="Y387" i="41" s="1"/>
  <c r="Y310" i="41"/>
  <c r="O305" i="41"/>
  <c r="O392" i="41" s="1"/>
  <c r="O301" i="41"/>
  <c r="O303" i="41" s="1"/>
  <c r="AG322" i="41"/>
  <c r="AG324" i="41" s="1"/>
  <c r="AG326" i="41" s="1"/>
  <c r="AG328" i="41" s="1"/>
  <c r="AG308" i="41"/>
  <c r="AG354" i="41"/>
  <c r="AG356" i="41" s="1"/>
  <c r="AG358" i="41" s="1"/>
  <c r="AG360" i="41" s="1"/>
  <c r="P341" i="41"/>
  <c r="P309" i="41"/>
  <c r="AN322" i="41"/>
  <c r="AN324" i="41" s="1"/>
  <c r="AN354" i="41"/>
  <c r="AN356" i="41" s="1"/>
  <c r="AN399" i="41"/>
  <c r="AN423" i="41" s="1"/>
  <c r="AN427" i="41" s="1"/>
  <c r="AL322" i="41"/>
  <c r="AL324" i="41" s="1"/>
  <c r="AL399" i="41"/>
  <c r="AL423" i="41" s="1"/>
  <c r="AL427" i="41" s="1"/>
  <c r="AL354" i="41"/>
  <c r="AL356" i="41" s="1"/>
  <c r="AB354" i="41"/>
  <c r="AB356" i="41" s="1"/>
  <c r="AB322" i="41"/>
  <c r="AB324" i="41" s="1"/>
  <c r="AB399" i="41"/>
  <c r="AB423" i="41" s="1"/>
  <c r="AB427" i="41" s="1"/>
  <c r="AE194" i="105"/>
  <c r="AE116" i="105"/>
  <c r="AF117" i="105"/>
  <c r="AF195" i="105"/>
  <c r="S107" i="105"/>
  <c r="S184" i="105"/>
  <c r="O115" i="105"/>
  <c r="O193" i="105"/>
  <c r="J184" i="105"/>
  <c r="J107" i="105"/>
  <c r="S195" i="105"/>
  <c r="S117" i="105"/>
  <c r="O102" i="105"/>
  <c r="AC341" i="41"/>
  <c r="AC309" i="41"/>
  <c r="AE341" i="41"/>
  <c r="M342" i="41"/>
  <c r="M374" i="41"/>
  <c r="M376" i="41" s="1"/>
  <c r="M387" i="41" s="1"/>
  <c r="M310" i="41"/>
  <c r="N115" i="105"/>
  <c r="N193" i="105"/>
  <c r="T322" i="41"/>
  <c r="T324" i="41" s="1"/>
  <c r="T354" i="41"/>
  <c r="T356" i="41" s="1"/>
  <c r="AC310" i="41"/>
  <c r="AC342" i="41"/>
  <c r="AC374" i="41"/>
  <c r="AC376" i="41" s="1"/>
  <c r="AC387" i="41" s="1"/>
  <c r="AD310" i="41"/>
  <c r="N106" i="105"/>
  <c r="N183" i="105"/>
  <c r="S105" i="105"/>
  <c r="S182" i="105"/>
  <c r="AA200" i="105"/>
  <c r="Z102" i="105"/>
  <c r="N182" i="105"/>
  <c r="N105" i="105"/>
  <c r="M102" i="105"/>
  <c r="U331" i="41"/>
  <c r="M322" i="41"/>
  <c r="M324" i="41" s="1"/>
  <c r="M326" i="41" s="1"/>
  <c r="M328" i="41" s="1"/>
  <c r="M354" i="41"/>
  <c r="M356" i="41" s="1"/>
  <c r="M358" i="41" s="1"/>
  <c r="M360" i="41" s="1"/>
  <c r="M308" i="41"/>
  <c r="AK322" i="41"/>
  <c r="AK324" i="41" s="1"/>
  <c r="AK354" i="41"/>
  <c r="AK356" i="41" s="1"/>
  <c r="AK399" i="41"/>
  <c r="AK423" i="41" s="1"/>
  <c r="AK427" i="41" s="1"/>
  <c r="K354" i="41"/>
  <c r="K356" i="41" s="1"/>
  <c r="K322" i="41"/>
  <c r="K324" i="41" s="1"/>
  <c r="K399" i="41"/>
  <c r="K423" i="41" s="1"/>
  <c r="K427" i="41" s="1"/>
  <c r="AA322" i="41"/>
  <c r="AA324" i="41" s="1"/>
  <c r="AA354" i="41"/>
  <c r="AA356" i="41" s="1"/>
  <c r="J38" i="82"/>
  <c r="J139" i="65"/>
  <c r="J168" i="65" s="1"/>
  <c r="J121" i="65"/>
  <c r="J130" i="65"/>
  <c r="J159" i="65" s="1"/>
  <c r="O194" i="105"/>
  <c r="O116" i="105"/>
  <c r="M106" i="105"/>
  <c r="M183" i="105"/>
  <c r="O341" i="41"/>
  <c r="S354" i="41"/>
  <c r="S356" i="41" s="1"/>
  <c r="S322" i="41"/>
  <c r="S324" i="41" s="1"/>
  <c r="Z365" i="41"/>
  <c r="Z367" i="41" s="1"/>
  <c r="Z369" i="41" s="1"/>
  <c r="Z394" i="41" s="1"/>
  <c r="U365" i="41"/>
  <c r="U367" i="41" s="1"/>
  <c r="U369" i="41" s="1"/>
  <c r="U394" i="41" s="1"/>
  <c r="AE193" i="105"/>
  <c r="AE115" i="105"/>
  <c r="X194" i="105"/>
  <c r="X116" i="105"/>
  <c r="S194" i="105"/>
  <c r="S116" i="105"/>
  <c r="U117" i="105"/>
  <c r="U195" i="105"/>
  <c r="AG310" i="41"/>
  <c r="AG342" i="41"/>
  <c r="AG374" i="41"/>
  <c r="AG376" i="41" s="1"/>
  <c r="AG387" i="41" s="1"/>
  <c r="N194" i="105"/>
  <c r="N116" i="105"/>
  <c r="S193" i="105"/>
  <c r="S115" i="105"/>
  <c r="U102" i="105"/>
  <c r="Y309" i="41"/>
  <c r="AG341" i="41"/>
  <c r="AG309" i="41"/>
  <c r="AA122" i="105"/>
  <c r="Z194" i="105"/>
  <c r="Z116" i="105"/>
  <c r="N102" i="105"/>
  <c r="M105" i="105"/>
  <c r="M182" i="105"/>
  <c r="Z331" i="41"/>
  <c r="AE102" i="105"/>
  <c r="Y200" i="105"/>
  <c r="S183" i="105"/>
  <c r="S106" i="105"/>
  <c r="J354" i="41"/>
  <c r="J356" i="41" s="1"/>
  <c r="J358" i="41" s="1"/>
  <c r="J360" i="41" s="1"/>
  <c r="J308" i="41"/>
  <c r="J322" i="41"/>
  <c r="J324" i="41" s="1"/>
  <c r="J326" i="41" s="1"/>
  <c r="J328" i="41" s="1"/>
  <c r="AD308" i="41"/>
  <c r="AD354" i="41"/>
  <c r="AD356" i="41" s="1"/>
  <c r="AD322" i="41"/>
  <c r="AD324" i="41" s="1"/>
  <c r="AD326" i="41" s="1"/>
  <c r="AD328" i="41" s="1"/>
  <c r="V354" i="41"/>
  <c r="V356" i="41" s="1"/>
  <c r="V322" i="41"/>
  <c r="V324" i="41" s="1"/>
  <c r="AI399" i="41"/>
  <c r="AI423" i="41" s="1"/>
  <c r="AI427" i="41" s="1"/>
  <c r="AI354" i="41"/>
  <c r="AI356" i="41" s="1"/>
  <c r="AI322" i="41"/>
  <c r="AI324" i="41" s="1"/>
  <c r="AC122" i="105"/>
  <c r="H97" i="105"/>
  <c r="M194" i="105"/>
  <c r="M116" i="105"/>
  <c r="P193" i="105"/>
  <c r="P115" i="105"/>
  <c r="Z299" i="41"/>
  <c r="Z305" i="41" s="1"/>
  <c r="Z392" i="41" s="1"/>
  <c r="J183" i="105"/>
  <c r="J106" i="105"/>
  <c r="P195" i="105"/>
  <c r="P117" i="105"/>
  <c r="X115" i="105"/>
  <c r="X193" i="105"/>
  <c r="V189" i="105"/>
  <c r="Y322" i="41"/>
  <c r="Y324" i="41" s="1"/>
  <c r="Y354" i="41"/>
  <c r="Y356" i="41" s="1"/>
  <c r="Y308" i="41"/>
  <c r="M107" i="105"/>
  <c r="M184" i="105"/>
  <c r="U107" i="105"/>
  <c r="U184" i="105"/>
  <c r="N342" i="41"/>
  <c r="N374" i="41"/>
  <c r="N376" i="41" s="1"/>
  <c r="N387" i="41" s="1"/>
  <c r="J342" i="41"/>
  <c r="J310" i="41"/>
  <c r="J374" i="41"/>
  <c r="J376" i="41" s="1"/>
  <c r="AE342" i="41"/>
  <c r="AE374" i="41"/>
  <c r="AE376" i="41" s="1"/>
  <c r="AE387" i="41" s="1"/>
  <c r="AE195" i="105"/>
  <c r="AE117" i="105"/>
  <c r="U193" i="105"/>
  <c r="U115" i="105"/>
  <c r="AF341" i="41"/>
  <c r="J341" i="41"/>
  <c r="J309" i="41"/>
  <c r="O195" i="105"/>
  <c r="O117" i="105"/>
  <c r="M193" i="105"/>
  <c r="M115" i="105"/>
  <c r="Y122" i="105"/>
  <c r="L354" i="41"/>
  <c r="L356" i="41" s="1"/>
  <c r="L399" i="41"/>
  <c r="L423" i="41" s="1"/>
  <c r="L427" i="41" s="1"/>
  <c r="L322" i="41"/>
  <c r="L324" i="41" s="1"/>
  <c r="O322" i="41"/>
  <c r="O324" i="41" s="1"/>
  <c r="O326" i="41" s="1"/>
  <c r="O328" i="41" s="1"/>
  <c r="O354" i="41"/>
  <c r="O356" i="41" s="1"/>
  <c r="O358" i="41" s="1"/>
  <c r="O360" i="41" s="1"/>
  <c r="AO399" i="41"/>
  <c r="AO423" i="41" s="1"/>
  <c r="AO427" i="41" s="1"/>
  <c r="AO354" i="41"/>
  <c r="AO356" i="41" s="1"/>
  <c r="AO322" i="41"/>
  <c r="AO324" i="41" s="1"/>
  <c r="AF322" i="41"/>
  <c r="AF324" i="41" s="1"/>
  <c r="AF326" i="41" s="1"/>
  <c r="AF328" i="41" s="1"/>
  <c r="AF354" i="41"/>
  <c r="AF356" i="41" s="1"/>
  <c r="Z117" i="105"/>
  <c r="Z195" i="105"/>
  <c r="O183" i="105"/>
  <c r="O106" i="105"/>
  <c r="N117" i="105"/>
  <c r="N195" i="105"/>
  <c r="P182" i="105"/>
  <c r="P105" i="105"/>
  <c r="U299" i="41"/>
  <c r="AF193" i="105"/>
  <c r="AF115" i="105"/>
  <c r="M195" i="105"/>
  <c r="M117" i="105"/>
  <c r="N322" i="41"/>
  <c r="N324" i="41" s="1"/>
  <c r="N326" i="41" s="1"/>
  <c r="N328" i="41" s="1"/>
  <c r="N354" i="41"/>
  <c r="N356" i="41" s="1"/>
  <c r="N358" i="41" s="1"/>
  <c r="N360" i="41" s="1"/>
  <c r="O182" i="105"/>
  <c r="O105" i="105"/>
  <c r="Z115" i="105"/>
  <c r="Z193" i="105"/>
  <c r="W354" i="41"/>
  <c r="W356" i="41" s="1"/>
  <c r="W322" i="41"/>
  <c r="W324" i="41" s="1"/>
  <c r="W399" i="41"/>
  <c r="W423" i="41" s="1"/>
  <c r="W427" i="41" s="1"/>
  <c r="AF342" i="41"/>
  <c r="AF374" i="41"/>
  <c r="AF376" i="41" s="1"/>
  <c r="AF387" i="41" s="1"/>
  <c r="U182" i="105"/>
  <c r="U105" i="105"/>
  <c r="M341" i="41"/>
  <c r="M309" i="41"/>
  <c r="P106" i="105"/>
  <c r="P183" i="105"/>
  <c r="P184" i="105"/>
  <c r="P107" i="105"/>
  <c r="AC354" i="41"/>
  <c r="AC356" i="41" s="1"/>
  <c r="AC358" i="41" s="1"/>
  <c r="AC360" i="41" s="1"/>
  <c r="AC322" i="41"/>
  <c r="AC324" i="41" s="1"/>
  <c r="AC326" i="41" s="1"/>
  <c r="AC328" i="41" s="1"/>
  <c r="AC308" i="41"/>
  <c r="X354" i="41"/>
  <c r="X356" i="41" s="1"/>
  <c r="X322" i="41"/>
  <c r="X324" i="41" s="1"/>
  <c r="AJ322" i="41"/>
  <c r="AJ324" i="41" s="1"/>
  <c r="AJ354" i="41"/>
  <c r="AJ356" i="41" s="1"/>
  <c r="AJ399" i="41"/>
  <c r="AJ423" i="41" s="1"/>
  <c r="AJ427" i="41" s="1"/>
  <c r="P354" i="41"/>
  <c r="P356" i="41" s="1"/>
  <c r="P358" i="41" s="1"/>
  <c r="P360" i="41" s="1"/>
  <c r="P322" i="41"/>
  <c r="P324" i="41" s="1"/>
  <c r="P326" i="41" s="1"/>
  <c r="P328" i="41" s="1"/>
  <c r="P308" i="41"/>
  <c r="X102" i="105"/>
  <c r="S365" i="41"/>
  <c r="S367" i="41" s="1"/>
  <c r="S369" i="41" s="1"/>
  <c r="S394" i="41" s="1"/>
  <c r="X365" i="41"/>
  <c r="X367" i="41" s="1"/>
  <c r="X369" i="41" s="1"/>
  <c r="X394" i="41" s="1"/>
  <c r="N107" i="105"/>
  <c r="N184" i="105"/>
  <c r="U116" i="105"/>
  <c r="U194" i="105"/>
  <c r="P102" i="105"/>
  <c r="AF102" i="105"/>
  <c r="X331" i="41"/>
  <c r="O374" i="41"/>
  <c r="O376" i="41" s="1"/>
  <c r="O387" i="41" s="1"/>
  <c r="O342" i="41"/>
  <c r="R322" i="41"/>
  <c r="R324" i="41" s="1"/>
  <c r="R354" i="41"/>
  <c r="R356" i="41" s="1"/>
  <c r="R399" i="41"/>
  <c r="R423" i="41" s="1"/>
  <c r="R427" i="41" s="1"/>
  <c r="AF301" i="41"/>
  <c r="AF303" i="41" s="1"/>
  <c r="AF305" i="41"/>
  <c r="AF392" i="41" s="1"/>
  <c r="P310" i="41"/>
  <c r="P374" i="41"/>
  <c r="P376" i="41" s="1"/>
  <c r="P387" i="41" s="1"/>
  <c r="P342" i="41"/>
  <c r="H96" i="105"/>
  <c r="AD140" i="105"/>
  <c r="AD146" i="105"/>
  <c r="AD69" i="82" s="1"/>
  <c r="Y146" i="105"/>
  <c r="Y69" i="82" s="1"/>
  <c r="Y140" i="105"/>
  <c r="AE322" i="41"/>
  <c r="AE324" i="41" s="1"/>
  <c r="AE326" i="41" s="1"/>
  <c r="AE328" i="41" s="1"/>
  <c r="AE354" i="41"/>
  <c r="AE356" i="41" s="1"/>
  <c r="U322" i="41"/>
  <c r="U324" i="41" s="1"/>
  <c r="U354" i="41"/>
  <c r="U356" i="41" s="1"/>
  <c r="AF194" i="105"/>
  <c r="AF116" i="105"/>
  <c r="T189" i="105"/>
  <c r="AD309" i="41"/>
  <c r="AD341" i="41"/>
  <c r="AD344" i="41" s="1"/>
  <c r="AD386" i="41" s="1"/>
  <c r="N341" i="41"/>
  <c r="X117" i="105"/>
  <c r="X195" i="105"/>
  <c r="O184" i="105"/>
  <c r="O107" i="105"/>
  <c r="P194" i="105"/>
  <c r="P116" i="105"/>
  <c r="J116" i="105"/>
  <c r="J194" i="105"/>
  <c r="Q322" i="41"/>
  <c r="Q324" i="41" s="1"/>
  <c r="Q354" i="41"/>
  <c r="Q356" i="41" s="1"/>
  <c r="Q399" i="41"/>
  <c r="Q423" i="41" s="1"/>
  <c r="Q427" i="41" s="1"/>
  <c r="AH322" i="41"/>
  <c r="AH324" i="41" s="1"/>
  <c r="AH354" i="41"/>
  <c r="AH356" i="41" s="1"/>
  <c r="AH399" i="41"/>
  <c r="AH423" i="41" s="1"/>
  <c r="AH427" i="41" s="1"/>
  <c r="Z354" i="41"/>
  <c r="Z356" i="41" s="1"/>
  <c r="Z322" i="41"/>
  <c r="Z324" i="41" s="1"/>
  <c r="AM354" i="41"/>
  <c r="AM356" i="41" s="1"/>
  <c r="AM322" i="41"/>
  <c r="AM324" i="41" s="1"/>
  <c r="AM399" i="41"/>
  <c r="AM423" i="41" s="1"/>
  <c r="AM427" i="41" s="1"/>
  <c r="U106" i="105"/>
  <c r="U183" i="105"/>
  <c r="J195" i="105"/>
  <c r="J117" i="105"/>
  <c r="S331" i="41"/>
  <c r="AA374" i="41" l="1"/>
  <c r="AA376" i="41" s="1"/>
  <c r="AA387" i="41" s="1"/>
  <c r="V146" i="105"/>
  <c r="V69" i="82" s="1"/>
  <c r="T140" i="105"/>
  <c r="T68" i="82" s="1"/>
  <c r="AA146" i="105"/>
  <c r="AA69" i="82" s="1"/>
  <c r="V140" i="105"/>
  <c r="V112" i="105"/>
  <c r="V147" i="105" s="1"/>
  <c r="T374" i="41"/>
  <c r="T376" i="41" s="1"/>
  <c r="T387" i="41" s="1"/>
  <c r="AF358" i="41"/>
  <c r="AF360" i="41" s="1"/>
  <c r="AD358" i="41"/>
  <c r="AD360" i="41" s="1"/>
  <c r="AE358" i="41"/>
  <c r="AE360" i="41" s="1"/>
  <c r="T333" i="41"/>
  <c r="T335" i="41" s="1"/>
  <c r="T337" i="41" s="1"/>
  <c r="T393" i="41" s="1"/>
  <c r="V333" i="41"/>
  <c r="V335" i="41" s="1"/>
  <c r="V337" i="41" s="1"/>
  <c r="V393" i="41" s="1"/>
  <c r="Y301" i="41"/>
  <c r="Y303" i="41" s="1"/>
  <c r="T305" i="41"/>
  <c r="T392" i="41" s="1"/>
  <c r="AA301" i="41"/>
  <c r="AA303" i="41" s="1"/>
  <c r="AA309" i="41"/>
  <c r="AA310" i="41"/>
  <c r="AA308" i="41"/>
  <c r="V305" i="41"/>
  <c r="V392" i="41" s="1"/>
  <c r="V301" i="41"/>
  <c r="V303" i="41" s="1"/>
  <c r="N310" i="41"/>
  <c r="N308" i="41"/>
  <c r="N309" i="41"/>
  <c r="AA140" i="105"/>
  <c r="T146" i="105"/>
  <c r="T69" i="82" s="1"/>
  <c r="T112" i="105"/>
  <c r="T141" i="105" s="1"/>
  <c r="V374" i="41"/>
  <c r="V376" i="41" s="1"/>
  <c r="V387" i="41" s="1"/>
  <c r="S140" i="105"/>
  <c r="AA333" i="41"/>
  <c r="AA335" i="41" s="1"/>
  <c r="AA337" i="41" s="1"/>
  <c r="AA342" i="41" s="1"/>
  <c r="T200" i="105"/>
  <c r="AE308" i="41"/>
  <c r="AE310" i="41"/>
  <c r="AE309" i="41"/>
  <c r="X308" i="41"/>
  <c r="X310" i="41"/>
  <c r="X301" i="41"/>
  <c r="X303" i="41" s="1"/>
  <c r="X309" i="41"/>
  <c r="N344" i="41"/>
  <c r="N386" i="41" s="1"/>
  <c r="S301" i="41"/>
  <c r="S303" i="41" s="1"/>
  <c r="S305" i="41"/>
  <c r="S392" i="41" s="1"/>
  <c r="S122" i="105"/>
  <c r="S142" i="105" s="1"/>
  <c r="AC312" i="41"/>
  <c r="AC385" i="41" s="1"/>
  <c r="AC207" i="105"/>
  <c r="AC80" i="82" s="1"/>
  <c r="O308" i="41"/>
  <c r="AC206" i="105"/>
  <c r="O309" i="41"/>
  <c r="O310" i="41"/>
  <c r="S146" i="105"/>
  <c r="S69" i="82" s="1"/>
  <c r="AC68" i="82"/>
  <c r="Z308" i="41"/>
  <c r="AD148" i="105"/>
  <c r="AG344" i="41"/>
  <c r="AG386" i="41" s="1"/>
  <c r="J344" i="41"/>
  <c r="J386" i="41" s="1"/>
  <c r="Z122" i="105"/>
  <c r="Z148" i="105" s="1"/>
  <c r="Y312" i="41"/>
  <c r="Y385" i="41" s="1"/>
  <c r="M344" i="41"/>
  <c r="M386" i="41" s="1"/>
  <c r="AE200" i="105"/>
  <c r="S112" i="105"/>
  <c r="S141" i="105" s="1"/>
  <c r="Z200" i="105"/>
  <c r="M200" i="105"/>
  <c r="Z374" i="41"/>
  <c r="Z376" i="41" s="1"/>
  <c r="Z387" i="41" s="1"/>
  <c r="S200" i="105"/>
  <c r="AF310" i="41"/>
  <c r="U374" i="41"/>
  <c r="U376" i="41" s="1"/>
  <c r="U387" i="41" s="1"/>
  <c r="S374" i="41"/>
  <c r="S376" i="41" s="1"/>
  <c r="S387" i="41" s="1"/>
  <c r="X374" i="41"/>
  <c r="X376" i="41" s="1"/>
  <c r="X387" i="41" s="1"/>
  <c r="J312" i="41"/>
  <c r="J385" i="41" s="1"/>
  <c r="P312" i="41"/>
  <c r="P385" i="41" s="1"/>
  <c r="AF308" i="41"/>
  <c r="AC344" i="41"/>
  <c r="AC386" i="41" s="1"/>
  <c r="AD206" i="105"/>
  <c r="AD68" i="82"/>
  <c r="AL358" i="41"/>
  <c r="AL360" i="41" s="1"/>
  <c r="AM358" i="41"/>
  <c r="AM360" i="41" s="1"/>
  <c r="AI358" i="41"/>
  <c r="AI360" i="41" s="1"/>
  <c r="AB358" i="41"/>
  <c r="AB360" i="41" s="1"/>
  <c r="K358" i="41"/>
  <c r="K360" i="41" s="1"/>
  <c r="AN358" i="41"/>
  <c r="AN360" i="41" s="1"/>
  <c r="AJ358" i="41"/>
  <c r="AJ360" i="41" s="1"/>
  <c r="AH358" i="41"/>
  <c r="AH360" i="41" s="1"/>
  <c r="R358" i="41"/>
  <c r="R360" i="41" s="1"/>
  <c r="Q358" i="41"/>
  <c r="Q360" i="41" s="1"/>
  <c r="AO358" i="41"/>
  <c r="AO360" i="41" s="1"/>
  <c r="L358" i="41"/>
  <c r="L360" i="41" s="1"/>
  <c r="W358" i="41"/>
  <c r="W360" i="41" s="1"/>
  <c r="AK358" i="41"/>
  <c r="AK360" i="41" s="1"/>
  <c r="S333" i="41"/>
  <c r="S335" i="41" s="1"/>
  <c r="S337" i="41" s="1"/>
  <c r="X333" i="41"/>
  <c r="X335" i="41" s="1"/>
  <c r="X337" i="41" s="1"/>
  <c r="U358" i="41"/>
  <c r="U360" i="41" s="1"/>
  <c r="Z358" i="41"/>
  <c r="Z360" i="41" s="1"/>
  <c r="O112" i="105"/>
  <c r="AF122" i="105"/>
  <c r="P200" i="105"/>
  <c r="H116" i="105"/>
  <c r="M189" i="105"/>
  <c r="U140" i="105"/>
  <c r="U146" i="105"/>
  <c r="U69" i="82" s="1"/>
  <c r="J73" i="105"/>
  <c r="J84" i="106" a="1"/>
  <c r="U333" i="41"/>
  <c r="U335" i="41" s="1"/>
  <c r="U337" i="41" s="1"/>
  <c r="Z333" i="41"/>
  <c r="Z335" i="41" s="1"/>
  <c r="Z337" i="41" s="1"/>
  <c r="V148" i="105"/>
  <c r="V142" i="105"/>
  <c r="N200" i="105"/>
  <c r="O200" i="105"/>
  <c r="J150" i="65"/>
  <c r="H178" i="65" s="1" a="1"/>
  <c r="H178" i="65" s="1"/>
  <c r="T142" i="105"/>
  <c r="T148" i="105"/>
  <c r="U326" i="41"/>
  <c r="U328" i="41" s="1"/>
  <c r="Z326" i="41"/>
  <c r="Z328" i="41" s="1"/>
  <c r="U112" i="105"/>
  <c r="O189" i="105"/>
  <c r="AF200" i="105"/>
  <c r="J387" i="41"/>
  <c r="V326" i="41"/>
  <c r="V328" i="41" s="1"/>
  <c r="AA326" i="41"/>
  <c r="AA328" i="41" s="1"/>
  <c r="H106" i="105"/>
  <c r="M112" i="105"/>
  <c r="AA142" i="105"/>
  <c r="AA148" i="105"/>
  <c r="AE122" i="105"/>
  <c r="M140" i="105"/>
  <c r="M146" i="105"/>
  <c r="M69" i="82" s="1"/>
  <c r="S189" i="105"/>
  <c r="N122" i="105"/>
  <c r="O122" i="105"/>
  <c r="AG312" i="41"/>
  <c r="AG385" i="41" s="1"/>
  <c r="U301" i="41"/>
  <c r="U303" i="41" s="1"/>
  <c r="U305" i="41"/>
  <c r="Z301" i="41"/>
  <c r="Z303" i="41" s="1"/>
  <c r="Y148" i="105"/>
  <c r="Y142" i="105"/>
  <c r="U122" i="105"/>
  <c r="H107" i="105"/>
  <c r="V358" i="41"/>
  <c r="V360" i="41" s="1"/>
  <c r="AA358" i="41"/>
  <c r="AA360" i="41" s="1"/>
  <c r="AD207" i="105"/>
  <c r="AD80" i="82" s="1"/>
  <c r="Y206" i="105"/>
  <c r="Y68" i="82"/>
  <c r="AF146" i="105"/>
  <c r="AF69" i="82" s="1"/>
  <c r="AF140" i="105"/>
  <c r="P112" i="105"/>
  <c r="U200" i="105"/>
  <c r="Y207" i="105"/>
  <c r="Y80" i="82" s="1"/>
  <c r="X326" i="41"/>
  <c r="X328" i="41" s="1"/>
  <c r="S326" i="41"/>
  <c r="S328" i="41" s="1"/>
  <c r="M312" i="41"/>
  <c r="M385" i="41" s="1"/>
  <c r="AC148" i="105"/>
  <c r="AC142" i="105"/>
  <c r="Y326" i="41"/>
  <c r="Y328" i="41" s="1"/>
  <c r="T326" i="41"/>
  <c r="T328" i="41" s="1"/>
  <c r="P146" i="105"/>
  <c r="P69" i="82" s="1"/>
  <c r="P140" i="105"/>
  <c r="H117" i="105"/>
  <c r="P189" i="105"/>
  <c r="AF344" i="41"/>
  <c r="AF386" i="41" s="1"/>
  <c r="AE146" i="105"/>
  <c r="AE69" i="82" s="1"/>
  <c r="AE140" i="105"/>
  <c r="N140" i="105"/>
  <c r="N146" i="105"/>
  <c r="N69" i="82" s="1"/>
  <c r="S358" i="41"/>
  <c r="S360" i="41" s="1"/>
  <c r="X358" i="41"/>
  <c r="X360" i="41" s="1"/>
  <c r="N112" i="105"/>
  <c r="AE344" i="41"/>
  <c r="AE386" i="41" s="1"/>
  <c r="Y342" i="41"/>
  <c r="P122" i="105"/>
  <c r="U189" i="105"/>
  <c r="M122" i="105"/>
  <c r="AF309" i="41"/>
  <c r="X200" i="105"/>
  <c r="AD312" i="41"/>
  <c r="AD385" i="41" s="1"/>
  <c r="AD389" i="41" s="1"/>
  <c r="AD396" i="41" s="1"/>
  <c r="Y341" i="41"/>
  <c r="O344" i="41"/>
  <c r="O386" i="41" s="1"/>
  <c r="N189" i="105"/>
  <c r="Z309" i="41"/>
  <c r="Z310" i="41"/>
  <c r="O146" i="105"/>
  <c r="O69" i="82" s="1"/>
  <c r="O140" i="105"/>
  <c r="P344" i="41"/>
  <c r="P386" i="41" s="1"/>
  <c r="X146" i="105"/>
  <c r="X69" i="82" s="1"/>
  <c r="X140" i="105"/>
  <c r="X122" i="105"/>
  <c r="J50" i="106" a="1"/>
  <c r="J64" i="105"/>
  <c r="AN326" i="41"/>
  <c r="AN328" i="41" s="1"/>
  <c r="L326" i="41"/>
  <c r="L328" i="41" s="1"/>
  <c r="W326" i="41"/>
  <c r="W328" i="41" s="1"/>
  <c r="R326" i="41"/>
  <c r="R328" i="41" s="1"/>
  <c r="K326" i="41"/>
  <c r="K328" i="41" s="1"/>
  <c r="AB326" i="41"/>
  <c r="AB328" i="41" s="1"/>
  <c r="AI326" i="41"/>
  <c r="AI328" i="41" s="1"/>
  <c r="AH326" i="41"/>
  <c r="AH328" i="41" s="1"/>
  <c r="AK326" i="41"/>
  <c r="AK328" i="41" s="1"/>
  <c r="AM326" i="41"/>
  <c r="AM328" i="41" s="1"/>
  <c r="AJ326" i="41"/>
  <c r="AJ328" i="41" s="1"/>
  <c r="AO326" i="41"/>
  <c r="AO328" i="41" s="1"/>
  <c r="AL326" i="41"/>
  <c r="AL328" i="41" s="1"/>
  <c r="Q326" i="41"/>
  <c r="Q328" i="41" s="1"/>
  <c r="Z146" i="105"/>
  <c r="Z69" i="82" s="1"/>
  <c r="Z140" i="105"/>
  <c r="Y358" i="41"/>
  <c r="Y360" i="41" s="1"/>
  <c r="T358" i="41"/>
  <c r="T360" i="41" s="1"/>
  <c r="T206" i="105" l="1"/>
  <c r="T79" i="82" s="1"/>
  <c r="T207" i="105"/>
  <c r="T80" i="82" s="1"/>
  <c r="V141" i="105"/>
  <c r="T342" i="41"/>
  <c r="V308" i="41"/>
  <c r="AA207" i="105"/>
  <c r="AA80" i="82" s="1"/>
  <c r="S68" i="82"/>
  <c r="V207" i="105"/>
  <c r="V80" i="82" s="1"/>
  <c r="V206" i="105"/>
  <c r="V79" i="82" s="1"/>
  <c r="V68" i="82"/>
  <c r="V342" i="41"/>
  <c r="V341" i="41"/>
  <c r="T310" i="41"/>
  <c r="T341" i="41"/>
  <c r="T308" i="41"/>
  <c r="X148" i="105"/>
  <c r="X142" i="105"/>
  <c r="T309" i="41"/>
  <c r="V309" i="41"/>
  <c r="V310" i="41"/>
  <c r="AA312" i="41"/>
  <c r="AA385" i="41" s="1"/>
  <c r="S206" i="105"/>
  <c r="S79" i="82" s="1"/>
  <c r="N312" i="41"/>
  <c r="N385" i="41" s="1"/>
  <c r="N389" i="41" s="1"/>
  <c r="N396" i="41" s="1"/>
  <c r="N401" i="41" s="1"/>
  <c r="S207" i="105"/>
  <c r="S80" i="82" s="1"/>
  <c r="T147" i="105"/>
  <c r="AA206" i="105"/>
  <c r="AA68" i="82"/>
  <c r="AE312" i="41"/>
  <c r="AE385" i="41" s="1"/>
  <c r="AE389" i="41" s="1"/>
  <c r="AE396" i="41" s="1"/>
  <c r="AE401" i="41" s="1"/>
  <c r="AA393" i="41"/>
  <c r="AA341" i="41"/>
  <c r="AA344" i="41" s="1"/>
  <c r="AA386" i="41" s="1"/>
  <c r="S148" i="105"/>
  <c r="X312" i="41"/>
  <c r="X385" i="41" s="1"/>
  <c r="AC389" i="41"/>
  <c r="AC396" i="41" s="1"/>
  <c r="AC399" i="41" s="1"/>
  <c r="S309" i="41"/>
  <c r="S308" i="41"/>
  <c r="S310" i="41"/>
  <c r="Z207" i="105"/>
  <c r="Z80" i="82" s="1"/>
  <c r="M389" i="41"/>
  <c r="M396" i="41" s="1"/>
  <c r="M400" i="41" s="1"/>
  <c r="AG389" i="41"/>
  <c r="AG396" i="41" s="1"/>
  <c r="AG401" i="41" s="1"/>
  <c r="O312" i="41"/>
  <c r="O385" i="41" s="1"/>
  <c r="O389" i="41" s="1"/>
  <c r="O396" i="41" s="1"/>
  <c r="P389" i="41"/>
  <c r="P396" i="41" s="1"/>
  <c r="P399" i="41" s="1"/>
  <c r="J389" i="41"/>
  <c r="J396" i="41" s="1"/>
  <c r="J401" i="41" s="1"/>
  <c r="S147" i="105"/>
  <c r="Z142" i="105"/>
  <c r="H429" i="41"/>
  <c r="AF312" i="41"/>
  <c r="AF385" i="41" s="1"/>
  <c r="AF389" i="41" s="1"/>
  <c r="AF396" i="41" s="1"/>
  <c r="Z312" i="41"/>
  <c r="Z385" i="41" s="1"/>
  <c r="J105" i="105"/>
  <c r="J182" i="105"/>
  <c r="J189" i="105" s="1"/>
  <c r="AE142" i="105"/>
  <c r="AE148" i="105"/>
  <c r="O109" i="106"/>
  <c r="J113" i="106"/>
  <c r="N114" i="106"/>
  <c r="N109" i="106"/>
  <c r="M89" i="106"/>
  <c r="M95" i="106"/>
  <c r="P91" i="106"/>
  <c r="M108" i="106"/>
  <c r="P90" i="106"/>
  <c r="P100" i="106"/>
  <c r="L91" i="106"/>
  <c r="K86" i="106"/>
  <c r="J85" i="106"/>
  <c r="N85" i="106"/>
  <c r="N91" i="106"/>
  <c r="O102" i="106"/>
  <c r="N95" i="106"/>
  <c r="K107" i="106"/>
  <c r="N104" i="106"/>
  <c r="L99" i="106"/>
  <c r="L96" i="106"/>
  <c r="J106" i="106"/>
  <c r="L106" i="106"/>
  <c r="K96" i="106"/>
  <c r="K100" i="106"/>
  <c r="K112" i="106"/>
  <c r="L108" i="106"/>
  <c r="J114" i="106"/>
  <c r="L111" i="106"/>
  <c r="K111" i="106"/>
  <c r="M111" i="106"/>
  <c r="M102" i="106"/>
  <c r="P102" i="106"/>
  <c r="P103" i="106"/>
  <c r="L86" i="106"/>
  <c r="O93" i="106"/>
  <c r="L84" i="106"/>
  <c r="J101" i="106"/>
  <c r="K109" i="106"/>
  <c r="M115" i="106"/>
  <c r="O112" i="106"/>
  <c r="P111" i="106"/>
  <c r="N110" i="106"/>
  <c r="M98" i="106"/>
  <c r="M104" i="106"/>
  <c r="M109" i="106"/>
  <c r="M114" i="106"/>
  <c r="P84" i="106"/>
  <c r="P95" i="106"/>
  <c r="K91" i="106"/>
  <c r="K85" i="106"/>
  <c r="J86" i="106"/>
  <c r="O99" i="106"/>
  <c r="O103" i="106"/>
  <c r="O87" i="106"/>
  <c r="N89" i="106"/>
  <c r="N100" i="106"/>
  <c r="J107" i="106"/>
  <c r="K87" i="106"/>
  <c r="L98" i="106"/>
  <c r="L100" i="106"/>
  <c r="L95" i="106"/>
  <c r="J95" i="106"/>
  <c r="J93" i="106"/>
  <c r="K110" i="106"/>
  <c r="K108" i="106"/>
  <c r="J110" i="106"/>
  <c r="M87" i="106"/>
  <c r="N101" i="106"/>
  <c r="J88" i="106"/>
  <c r="N115" i="106"/>
  <c r="O114" i="106"/>
  <c r="M113" i="106"/>
  <c r="O110" i="106"/>
  <c r="M94" i="106"/>
  <c r="M86" i="106"/>
  <c r="M92" i="106"/>
  <c r="M93" i="106"/>
  <c r="P88" i="106"/>
  <c r="P106" i="106"/>
  <c r="L85" i="106"/>
  <c r="K92" i="106"/>
  <c r="O91" i="106"/>
  <c r="O92" i="106"/>
  <c r="O105" i="106"/>
  <c r="O89" i="106"/>
  <c r="N92" i="106"/>
  <c r="N93" i="106"/>
  <c r="N90" i="106"/>
  <c r="J84" i="106"/>
  <c r="J104" i="106"/>
  <c r="L90" i="106"/>
  <c r="J100" i="106"/>
  <c r="J99" i="106"/>
  <c r="L93" i="106"/>
  <c r="P109" i="106"/>
  <c r="L114" i="106"/>
  <c r="J112" i="106"/>
  <c r="J115" i="106"/>
  <c r="M112" i="106"/>
  <c r="P86" i="106"/>
  <c r="P99" i="106"/>
  <c r="L92" i="106"/>
  <c r="O104" i="106"/>
  <c r="O98" i="106"/>
  <c r="N99" i="106"/>
  <c r="L107" i="106"/>
  <c r="K105" i="106"/>
  <c r="L87" i="106"/>
  <c r="K89" i="106"/>
  <c r="P108" i="106"/>
  <c r="J109" i="106"/>
  <c r="K94" i="106"/>
  <c r="L115" i="106"/>
  <c r="N111" i="106"/>
  <c r="N108" i="106"/>
  <c r="M106" i="106"/>
  <c r="M96" i="106"/>
  <c r="P94" i="106"/>
  <c r="J102" i="106"/>
  <c r="O107" i="106"/>
  <c r="O90" i="106"/>
  <c r="N98" i="106"/>
  <c r="K95" i="106"/>
  <c r="L105" i="106"/>
  <c r="J89" i="106"/>
  <c r="P107" i="106"/>
  <c r="P115" i="106"/>
  <c r="P87" i="106"/>
  <c r="J97" i="106"/>
  <c r="N107" i="106"/>
  <c r="N103" i="106"/>
  <c r="L101" i="106"/>
  <c r="L110" i="106"/>
  <c r="K113" i="106"/>
  <c r="O113" i="106"/>
  <c r="J111" i="106"/>
  <c r="M84" i="106"/>
  <c r="M90" i="106"/>
  <c r="P85" i="106"/>
  <c r="M85" i="106"/>
  <c r="P98" i="106"/>
  <c r="P105" i="106"/>
  <c r="P97" i="106"/>
  <c r="K102" i="106"/>
  <c r="K97" i="106"/>
  <c r="O84" i="106"/>
  <c r="O86" i="106"/>
  <c r="O88" i="106"/>
  <c r="O94" i="106"/>
  <c r="N96" i="106"/>
  <c r="N97" i="106"/>
  <c r="N94" i="106"/>
  <c r="K84" i="106"/>
  <c r="L103" i="106"/>
  <c r="J90" i="106"/>
  <c r="J94" i="106"/>
  <c r="K103" i="106"/>
  <c r="J105" i="106"/>
  <c r="K114" i="106"/>
  <c r="P114" i="106"/>
  <c r="J108" i="106"/>
  <c r="O111" i="106"/>
  <c r="M91" i="106"/>
  <c r="P89" i="106"/>
  <c r="L97" i="106"/>
  <c r="O85" i="106"/>
  <c r="N84" i="106"/>
  <c r="N86" i="106"/>
  <c r="J103" i="106"/>
  <c r="L94" i="106"/>
  <c r="K104" i="106"/>
  <c r="L104" i="106"/>
  <c r="L109" i="106"/>
  <c r="O95" i="106"/>
  <c r="O115" i="106"/>
  <c r="N113" i="106"/>
  <c r="K115" i="106"/>
  <c r="M105" i="106"/>
  <c r="M101" i="106"/>
  <c r="M110" i="106"/>
  <c r="P96" i="106"/>
  <c r="P101" i="106"/>
  <c r="J92" i="106"/>
  <c r="O101" i="106"/>
  <c r="O97" i="106"/>
  <c r="N102" i="106"/>
  <c r="K88" i="106"/>
  <c r="J96" i="106"/>
  <c r="K101" i="106"/>
  <c r="P112" i="106"/>
  <c r="M107" i="106"/>
  <c r="N106" i="106"/>
  <c r="J87" i="106"/>
  <c r="N112" i="106"/>
  <c r="P113" i="106"/>
  <c r="L113" i="106"/>
  <c r="O108" i="106"/>
  <c r="M100" i="106"/>
  <c r="M99" i="106"/>
  <c r="M97" i="106"/>
  <c r="M88" i="106"/>
  <c r="P92" i="106"/>
  <c r="P104" i="106"/>
  <c r="P93" i="106"/>
  <c r="L102" i="106"/>
  <c r="J91" i="106"/>
  <c r="O100" i="106"/>
  <c r="O96" i="106"/>
  <c r="O106" i="106"/>
  <c r="N105" i="106"/>
  <c r="N87" i="106"/>
  <c r="N88" i="106"/>
  <c r="J98" i="106"/>
  <c r="K90" i="106"/>
  <c r="K99" i="106"/>
  <c r="K106" i="106"/>
  <c r="L89" i="106"/>
  <c r="L88" i="106"/>
  <c r="K98" i="106"/>
  <c r="P110" i="106"/>
  <c r="L112" i="106"/>
  <c r="M103" i="106"/>
  <c r="K93" i="106"/>
  <c r="O141" i="105"/>
  <c r="O147" i="105"/>
  <c r="K68" i="106"/>
  <c r="K65" i="106"/>
  <c r="N78" i="106"/>
  <c r="O72" i="106"/>
  <c r="M80" i="106"/>
  <c r="P67" i="106"/>
  <c r="L72" i="106"/>
  <c r="J69" i="106"/>
  <c r="M69" i="106"/>
  <c r="P72" i="106"/>
  <c r="N76" i="106"/>
  <c r="J78" i="106"/>
  <c r="P70" i="106"/>
  <c r="K70" i="106"/>
  <c r="M60" i="106"/>
  <c r="M59" i="106"/>
  <c r="M58" i="106"/>
  <c r="P52" i="106"/>
  <c r="K52" i="106"/>
  <c r="J51" i="106"/>
  <c r="O53" i="106"/>
  <c r="O60" i="106"/>
  <c r="N53" i="106"/>
  <c r="K59" i="106"/>
  <c r="J62" i="106"/>
  <c r="J55" i="106"/>
  <c r="L56" i="106"/>
  <c r="K76" i="106"/>
  <c r="N66" i="106"/>
  <c r="P80" i="106"/>
  <c r="P57" i="106"/>
  <c r="N54" i="106"/>
  <c r="L74" i="106"/>
  <c r="N81" i="106"/>
  <c r="M81" i="106"/>
  <c r="L63" i="106"/>
  <c r="K77" i="106"/>
  <c r="N64" i="106"/>
  <c r="K72" i="106"/>
  <c r="O71" i="106"/>
  <c r="L77" i="106"/>
  <c r="J72" i="106"/>
  <c r="M70" i="106"/>
  <c r="J75" i="106"/>
  <c r="P81" i="106"/>
  <c r="M75" i="106"/>
  <c r="M68" i="106"/>
  <c r="M50" i="106"/>
  <c r="M62" i="106"/>
  <c r="M57" i="106"/>
  <c r="P62" i="106"/>
  <c r="L58" i="106"/>
  <c r="O50" i="106"/>
  <c r="N73" i="106"/>
  <c r="O55" i="106"/>
  <c r="L73" i="106"/>
  <c r="J54" i="106"/>
  <c r="J53" i="106"/>
  <c r="J50" i="106"/>
  <c r="K53" i="106"/>
  <c r="P74" i="106"/>
  <c r="O66" i="106"/>
  <c r="O67" i="106"/>
  <c r="M66" i="106"/>
  <c r="P53" i="106"/>
  <c r="K61" i="106"/>
  <c r="K81" i="106"/>
  <c r="J66" i="106"/>
  <c r="O76" i="106"/>
  <c r="P69" i="106"/>
  <c r="J64" i="106"/>
  <c r="P63" i="106"/>
  <c r="M64" i="106"/>
  <c r="O74" i="106"/>
  <c r="N75" i="106"/>
  <c r="O65" i="106"/>
  <c r="P75" i="106"/>
  <c r="P78" i="106"/>
  <c r="J80" i="106"/>
  <c r="K69" i="106"/>
  <c r="M55" i="106"/>
  <c r="P51" i="106"/>
  <c r="P59" i="106"/>
  <c r="P60" i="106"/>
  <c r="K58" i="106"/>
  <c r="O51" i="106"/>
  <c r="O58" i="106"/>
  <c r="O52" i="106"/>
  <c r="N56" i="106"/>
  <c r="K55" i="106"/>
  <c r="L50" i="106"/>
  <c r="L60" i="106"/>
  <c r="J61" i="106"/>
  <c r="J76" i="106"/>
  <c r="L69" i="106"/>
  <c r="N65" i="106"/>
  <c r="K63" i="106"/>
  <c r="J65" i="106"/>
  <c r="L65" i="106"/>
  <c r="M79" i="106"/>
  <c r="M78" i="106"/>
  <c r="L70" i="106"/>
  <c r="L64" i="106"/>
  <c r="M61" i="106"/>
  <c r="P56" i="106"/>
  <c r="L57" i="106"/>
  <c r="O62" i="106"/>
  <c r="N59" i="106"/>
  <c r="J56" i="106"/>
  <c r="L61" i="106"/>
  <c r="J74" i="106"/>
  <c r="J68" i="106"/>
  <c r="K51" i="106"/>
  <c r="L68" i="106"/>
  <c r="L75" i="106"/>
  <c r="N67" i="106"/>
  <c r="N71" i="106"/>
  <c r="O70" i="106"/>
  <c r="M54" i="106"/>
  <c r="P58" i="106"/>
  <c r="O57" i="106"/>
  <c r="N62" i="106"/>
  <c r="L53" i="106"/>
  <c r="P76" i="106"/>
  <c r="O68" i="106"/>
  <c r="P71" i="106"/>
  <c r="N60" i="106"/>
  <c r="P65" i="106"/>
  <c r="M63" i="106"/>
  <c r="P77" i="106"/>
  <c r="O63" i="106"/>
  <c r="O69" i="106"/>
  <c r="K78" i="106"/>
  <c r="O77" i="106"/>
  <c r="N80" i="106"/>
  <c r="N68" i="106"/>
  <c r="N77" i="106"/>
  <c r="N69" i="106"/>
  <c r="M72" i="106"/>
  <c r="M77" i="106"/>
  <c r="K80" i="106"/>
  <c r="O81" i="106"/>
  <c r="M53" i="106"/>
  <c r="M74" i="106"/>
  <c r="P61" i="106"/>
  <c r="P55" i="106"/>
  <c r="J58" i="106"/>
  <c r="O73" i="106"/>
  <c r="N57" i="106"/>
  <c r="N61" i="106"/>
  <c r="N58" i="106"/>
  <c r="K50" i="106"/>
  <c r="J59" i="106"/>
  <c r="K62" i="106"/>
  <c r="K74" i="106"/>
  <c r="K64" i="106"/>
  <c r="L78" i="106"/>
  <c r="J67" i="106"/>
  <c r="J52" i="106"/>
  <c r="J60" i="106"/>
  <c r="L71" i="106"/>
  <c r="O79" i="106"/>
  <c r="M67" i="106"/>
  <c r="K67" i="106"/>
  <c r="O75" i="106"/>
  <c r="O78" i="106"/>
  <c r="J81" i="106"/>
  <c r="M65" i="106"/>
  <c r="O64" i="106"/>
  <c r="J63" i="106"/>
  <c r="N72" i="106"/>
  <c r="P64" i="106"/>
  <c r="O80" i="106"/>
  <c r="P79" i="106"/>
  <c r="L67" i="106"/>
  <c r="M56" i="106"/>
  <c r="M51" i="106"/>
  <c r="P50" i="106"/>
  <c r="L51" i="106"/>
  <c r="J57" i="106"/>
  <c r="N51" i="106"/>
  <c r="N50" i="106"/>
  <c r="N52" i="106"/>
  <c r="K73" i="106"/>
  <c r="L54" i="106"/>
  <c r="K56" i="106"/>
  <c r="L55" i="106"/>
  <c r="P73" i="106"/>
  <c r="P66" i="106"/>
  <c r="L66" i="106"/>
  <c r="M76" i="106"/>
  <c r="O61" i="106"/>
  <c r="K60" i="106"/>
  <c r="M71" i="106"/>
  <c r="K79" i="106"/>
  <c r="L80" i="106"/>
  <c r="J71" i="106"/>
  <c r="N74" i="106"/>
  <c r="K66" i="106"/>
  <c r="N70" i="106"/>
  <c r="L79" i="106"/>
  <c r="K75" i="106"/>
  <c r="J77" i="106"/>
  <c r="J70" i="106"/>
  <c r="K71" i="106"/>
  <c r="J79" i="106"/>
  <c r="P68" i="106"/>
  <c r="N63" i="106"/>
  <c r="M52" i="106"/>
  <c r="M73" i="106"/>
  <c r="P54" i="106"/>
  <c r="K57" i="106"/>
  <c r="L52" i="106"/>
  <c r="O59" i="106"/>
  <c r="O56" i="106"/>
  <c r="N55" i="106"/>
  <c r="J73" i="106"/>
  <c r="K54" i="106"/>
  <c r="L62" i="106"/>
  <c r="L59" i="106"/>
  <c r="L76" i="106"/>
  <c r="L81" i="106"/>
  <c r="N79" i="106"/>
  <c r="O54" i="106"/>
  <c r="N141" i="105"/>
  <c r="N147" i="105"/>
  <c r="AE207" i="105"/>
  <c r="AE80" i="82" s="1"/>
  <c r="AE68" i="82"/>
  <c r="AE206" i="105"/>
  <c r="P147" i="105"/>
  <c r="P141" i="105"/>
  <c r="O148" i="105"/>
  <c r="O142" i="105"/>
  <c r="N148" i="105"/>
  <c r="N142" i="105"/>
  <c r="J115" i="105"/>
  <c r="J193" i="105"/>
  <c r="J200" i="105" s="1"/>
  <c r="J59" i="55"/>
  <c r="A4" i="65"/>
  <c r="S393" i="41"/>
  <c r="S342" i="41"/>
  <c r="S341" i="41"/>
  <c r="J16" i="106" a="1"/>
  <c r="J55" i="105"/>
  <c r="J95" i="105" s="1"/>
  <c r="N206" i="105"/>
  <c r="N79" i="82" s="1"/>
  <c r="N68" i="82"/>
  <c r="N207" i="105"/>
  <c r="N80" i="82" s="1"/>
  <c r="Z68" i="82"/>
  <c r="Z206" i="105"/>
  <c r="X68" i="82"/>
  <c r="X206" i="105"/>
  <c r="X207" i="105"/>
  <c r="X80" i="82" s="1"/>
  <c r="P148" i="105"/>
  <c r="P142" i="105"/>
  <c r="P206" i="105"/>
  <c r="P79" i="82" s="1"/>
  <c r="P68" i="82"/>
  <c r="P207" i="105"/>
  <c r="P80" i="82" s="1"/>
  <c r="AF206" i="105"/>
  <c r="AF207" i="105"/>
  <c r="AF80" i="82" s="1"/>
  <c r="AF68" i="82"/>
  <c r="U142" i="105"/>
  <c r="U148" i="105"/>
  <c r="Z393" i="41"/>
  <c r="Z342" i="41"/>
  <c r="Z341" i="41"/>
  <c r="U207" i="105"/>
  <c r="U80" i="82" s="1"/>
  <c r="U206" i="105"/>
  <c r="U79" i="82" s="1"/>
  <c r="U68" i="82"/>
  <c r="AF142" i="105"/>
  <c r="AF148" i="105"/>
  <c r="Y344" i="41"/>
  <c r="Y386" i="41" s="1"/>
  <c r="Y389" i="41" s="1"/>
  <c r="Y396" i="41" s="1"/>
  <c r="AD401" i="41"/>
  <c r="AD399" i="41"/>
  <c r="AD400" i="41"/>
  <c r="U392" i="41"/>
  <c r="U310" i="41"/>
  <c r="U309" i="41"/>
  <c r="U308" i="41"/>
  <c r="O68" i="82"/>
  <c r="O206" i="105"/>
  <c r="O79" i="82" s="1"/>
  <c r="O207" i="105"/>
  <c r="O80" i="82" s="1"/>
  <c r="U147" i="105"/>
  <c r="U141" i="105"/>
  <c r="U393" i="41"/>
  <c r="U342" i="41"/>
  <c r="U341" i="41"/>
  <c r="M148" i="105"/>
  <c r="M142" i="105"/>
  <c r="M206" i="105"/>
  <c r="M79" i="82" s="1"/>
  <c r="M68" i="82"/>
  <c r="M207" i="105"/>
  <c r="M80" i="82" s="1"/>
  <c r="M147" i="105"/>
  <c r="M141" i="105"/>
  <c r="X393" i="41"/>
  <c r="X342" i="41"/>
  <c r="X341" i="41"/>
  <c r="T344" i="41" l="1"/>
  <c r="T386" i="41" s="1"/>
  <c r="V344" i="41"/>
  <c r="V386" i="41" s="1"/>
  <c r="T312" i="41"/>
  <c r="T385" i="41" s="1"/>
  <c r="V312" i="41"/>
  <c r="V385" i="41" s="1"/>
  <c r="AA389" i="41"/>
  <c r="AA396" i="41" s="1"/>
  <c r="AA399" i="41" s="1"/>
  <c r="AC400" i="41"/>
  <c r="AG399" i="41"/>
  <c r="N399" i="41"/>
  <c r="N400" i="41"/>
  <c r="AC401" i="41"/>
  <c r="AG400" i="41"/>
  <c r="S312" i="41"/>
  <c r="S385" i="41" s="1"/>
  <c r="U344" i="41"/>
  <c r="U386" i="41" s="1"/>
  <c r="M401" i="41"/>
  <c r="M399" i="41"/>
  <c r="J399" i="41"/>
  <c r="P401" i="41"/>
  <c r="P400" i="41"/>
  <c r="J400" i="41"/>
  <c r="X344" i="41"/>
  <c r="X386" i="41" s="1"/>
  <c r="X389" i="41" s="1"/>
  <c r="X396" i="41" s="1"/>
  <c r="X401" i="41" s="1"/>
  <c r="AE399" i="41"/>
  <c r="AE400" i="41"/>
  <c r="Z344" i="41"/>
  <c r="Z386" i="41" s="1"/>
  <c r="Z389" i="41" s="1"/>
  <c r="Z396" i="41" s="1"/>
  <c r="Z401" i="41" s="1"/>
  <c r="S344" i="41"/>
  <c r="S386" i="41" s="1"/>
  <c r="U312" i="41"/>
  <c r="U385" i="41" s="1"/>
  <c r="Y399" i="41"/>
  <c r="Y400" i="41"/>
  <c r="Y401" i="41"/>
  <c r="AF401" i="41"/>
  <c r="AF399" i="41"/>
  <c r="AF400" i="41"/>
  <c r="J122" i="105"/>
  <c r="H115" i="105"/>
  <c r="H122" i="105" s="1"/>
  <c r="O400" i="41"/>
  <c r="O401" i="41"/>
  <c r="O399" i="41"/>
  <c r="AD423" i="41"/>
  <c r="AD427" i="41" s="1"/>
  <c r="J102" i="105"/>
  <c r="H95" i="105"/>
  <c r="H102" i="105" s="1"/>
  <c r="J112" i="105"/>
  <c r="H105" i="105"/>
  <c r="H112" i="105" s="1"/>
  <c r="N41" i="106"/>
  <c r="N42" i="106"/>
  <c r="M16" i="106"/>
  <c r="M45" i="106"/>
  <c r="M18" i="106"/>
  <c r="M46" i="106"/>
  <c r="P34" i="106"/>
  <c r="P37" i="106"/>
  <c r="P32" i="106"/>
  <c r="K23" i="106"/>
  <c r="J24" i="106"/>
  <c r="O38" i="106"/>
  <c r="O22" i="106"/>
  <c r="O19" i="106"/>
  <c r="N24" i="106"/>
  <c r="K39" i="106"/>
  <c r="J39" i="106"/>
  <c r="K38" i="106"/>
  <c r="L28" i="106"/>
  <c r="L21" i="106"/>
  <c r="L36" i="106"/>
  <c r="L37" i="106"/>
  <c r="L25" i="106"/>
  <c r="J22" i="106"/>
  <c r="P45" i="106"/>
  <c r="L42" i="106"/>
  <c r="P44" i="106"/>
  <c r="J44" i="106"/>
  <c r="M44" i="106"/>
  <c r="L18" i="106"/>
  <c r="N20" i="106"/>
  <c r="K30" i="106"/>
  <c r="L44" i="106"/>
  <c r="N44" i="106"/>
  <c r="O45" i="106"/>
  <c r="M37" i="106"/>
  <c r="M30" i="106"/>
  <c r="M34" i="106"/>
  <c r="M29" i="106"/>
  <c r="P19" i="106"/>
  <c r="P24" i="106"/>
  <c r="L29" i="106"/>
  <c r="K17" i="106"/>
  <c r="J18" i="106"/>
  <c r="O20" i="106"/>
  <c r="O24" i="106"/>
  <c r="N17" i="106"/>
  <c r="L39" i="106"/>
  <c r="N38" i="106"/>
  <c r="N29" i="106"/>
  <c r="J32" i="106"/>
  <c r="K21" i="106"/>
  <c r="L32" i="106"/>
  <c r="L38" i="106"/>
  <c r="L22" i="106"/>
  <c r="K27" i="106"/>
  <c r="P47" i="106"/>
  <c r="L47" i="106"/>
  <c r="K40" i="106"/>
  <c r="J47" i="106"/>
  <c r="J40" i="106"/>
  <c r="M22" i="106"/>
  <c r="K34" i="106"/>
  <c r="N28" i="106"/>
  <c r="J33" i="106"/>
  <c r="K28" i="106"/>
  <c r="O42" i="106"/>
  <c r="O41" i="106"/>
  <c r="M26" i="106"/>
  <c r="M38" i="106"/>
  <c r="M19" i="106"/>
  <c r="M25" i="106"/>
  <c r="M41" i="106"/>
  <c r="P26" i="106"/>
  <c r="P18" i="106"/>
  <c r="L23" i="106"/>
  <c r="L34" i="106"/>
  <c r="J23" i="106"/>
  <c r="O29" i="106"/>
  <c r="O36" i="106"/>
  <c r="O33" i="106"/>
  <c r="N37" i="106"/>
  <c r="N35" i="106"/>
  <c r="N30" i="106"/>
  <c r="J19" i="106"/>
  <c r="L19" i="106"/>
  <c r="K25" i="106"/>
  <c r="K22" i="106"/>
  <c r="J36" i="106"/>
  <c r="J37" i="106"/>
  <c r="L43" i="106"/>
  <c r="K41" i="106"/>
  <c r="L40" i="106"/>
  <c r="J45" i="106"/>
  <c r="J20" i="106"/>
  <c r="J43" i="106"/>
  <c r="N40" i="106"/>
  <c r="O25" i="106"/>
  <c r="P43" i="106"/>
  <c r="O44" i="106"/>
  <c r="N47" i="106"/>
  <c r="M47" i="106"/>
  <c r="M33" i="106"/>
  <c r="M28" i="106"/>
  <c r="P23" i="106"/>
  <c r="M23" i="106"/>
  <c r="P28" i="106"/>
  <c r="P35" i="106"/>
  <c r="K18" i="106"/>
  <c r="K24" i="106"/>
  <c r="O23" i="106"/>
  <c r="O18" i="106"/>
  <c r="N23" i="106"/>
  <c r="O31" i="106"/>
  <c r="N33" i="106"/>
  <c r="N21" i="106"/>
  <c r="N34" i="106"/>
  <c r="K33" i="106"/>
  <c r="J28" i="106"/>
  <c r="K37" i="106"/>
  <c r="J38" i="106"/>
  <c r="L30" i="106"/>
  <c r="L45" i="106"/>
  <c r="P39" i="106"/>
  <c r="K44" i="106"/>
  <c r="P27" i="106"/>
  <c r="N45" i="106"/>
  <c r="O43" i="106"/>
  <c r="M36" i="106"/>
  <c r="M21" i="106"/>
  <c r="M39" i="106"/>
  <c r="M40" i="106"/>
  <c r="P30" i="106"/>
  <c r="P33" i="106"/>
  <c r="P29" i="106"/>
  <c r="J34" i="106"/>
  <c r="L24" i="106"/>
  <c r="O17" i="106"/>
  <c r="N39" i="106"/>
  <c r="N16" i="106"/>
  <c r="O21" i="106"/>
  <c r="N19" i="106"/>
  <c r="N25" i="106"/>
  <c r="N18" i="106"/>
  <c r="K16" i="106"/>
  <c r="K26" i="106"/>
  <c r="L16" i="106"/>
  <c r="K32" i="106"/>
  <c r="L31" i="106"/>
  <c r="K36" i="106"/>
  <c r="K47" i="106"/>
  <c r="P40" i="106"/>
  <c r="P46" i="106"/>
  <c r="P41" i="106"/>
  <c r="N43" i="106"/>
  <c r="P31" i="106"/>
  <c r="O26" i="106"/>
  <c r="J31" i="106"/>
  <c r="J27" i="106"/>
  <c r="O46" i="106"/>
  <c r="O47" i="106"/>
  <c r="M27" i="106"/>
  <c r="M31" i="106"/>
  <c r="P17" i="106"/>
  <c r="M20" i="106"/>
  <c r="P36" i="106"/>
  <c r="P21" i="106"/>
  <c r="P20" i="106"/>
  <c r="J29" i="106"/>
  <c r="K29" i="106"/>
  <c r="O39" i="106"/>
  <c r="O34" i="106"/>
  <c r="O37" i="106"/>
  <c r="O27" i="106"/>
  <c r="N36" i="106"/>
  <c r="N22" i="106"/>
  <c r="N26" i="106"/>
  <c r="K20" i="106"/>
  <c r="J26" i="106"/>
  <c r="J35" i="106"/>
  <c r="K19" i="106"/>
  <c r="K31" i="106"/>
  <c r="J16" i="106"/>
  <c r="K43" i="106"/>
  <c r="L46" i="106"/>
  <c r="L41" i="106"/>
  <c r="J41" i="106"/>
  <c r="M43" i="106"/>
  <c r="P16" i="106"/>
  <c r="N31" i="106"/>
  <c r="L27" i="106"/>
  <c r="K46" i="106"/>
  <c r="O40" i="106"/>
  <c r="N46" i="106"/>
  <c r="M35" i="106"/>
  <c r="M32" i="106"/>
  <c r="M42" i="106"/>
  <c r="M17" i="106"/>
  <c r="P38" i="106"/>
  <c r="P22" i="106"/>
  <c r="P25" i="106"/>
  <c r="L17" i="106"/>
  <c r="J17" i="106"/>
  <c r="O16" i="106"/>
  <c r="O32" i="106"/>
  <c r="O30" i="106"/>
  <c r="O28" i="106"/>
  <c r="N27" i="106"/>
  <c r="N32" i="106"/>
  <c r="L26" i="106"/>
  <c r="L20" i="106"/>
  <c r="J25" i="106"/>
  <c r="L33" i="106"/>
  <c r="J21" i="106"/>
  <c r="J30" i="106"/>
  <c r="K35" i="106"/>
  <c r="K45" i="106"/>
  <c r="P42" i="106"/>
  <c r="K42" i="106"/>
  <c r="J46" i="106"/>
  <c r="M24" i="106"/>
  <c r="O35" i="106"/>
  <c r="L35" i="106"/>
  <c r="J42" i="106"/>
  <c r="T389" i="41" l="1"/>
  <c r="T396" i="41" s="1"/>
  <c r="T400" i="41" s="1"/>
  <c r="V389" i="41"/>
  <c r="V396" i="41" s="1"/>
  <c r="V399" i="41" s="1"/>
  <c r="AA400" i="41"/>
  <c r="AA401" i="41"/>
  <c r="AC423" i="41"/>
  <c r="AC427" i="41" s="1"/>
  <c r="AG423" i="41"/>
  <c r="AG427" i="41" s="1"/>
  <c r="N423" i="41"/>
  <c r="N427" i="41" s="1"/>
  <c r="S389" i="41"/>
  <c r="S396" i="41" s="1"/>
  <c r="S401" i="41" s="1"/>
  <c r="U389" i="41"/>
  <c r="U396" i="41" s="1"/>
  <c r="J423" i="41"/>
  <c r="J427" i="41" s="1"/>
  <c r="M423" i="41"/>
  <c r="M427" i="41" s="1"/>
  <c r="P423" i="41"/>
  <c r="P427" i="41" s="1"/>
  <c r="Z399" i="41"/>
  <c r="AE423" i="41"/>
  <c r="AE427" i="41" s="1"/>
  <c r="X399" i="41"/>
  <c r="X400" i="41"/>
  <c r="O423" i="41"/>
  <c r="O427" i="41" s="1"/>
  <c r="Z400" i="41"/>
  <c r="H132" i="105"/>
  <c r="H133" i="105" s="1"/>
  <c r="Y423" i="41"/>
  <c r="Y427" i="41" s="1"/>
  <c r="J147" i="105"/>
  <c r="J141" i="105"/>
  <c r="H119" i="106" a="1"/>
  <c r="H119" i="106" s="1"/>
  <c r="J140" i="105"/>
  <c r="J146" i="105"/>
  <c r="J69" i="82" s="1"/>
  <c r="AF423" i="41"/>
  <c r="AF427" i="41" s="1"/>
  <c r="J142" i="105"/>
  <c r="J148" i="105"/>
  <c r="T401" i="41" l="1"/>
  <c r="T399" i="41"/>
  <c r="V400" i="41"/>
  <c r="V401" i="41"/>
  <c r="AA423" i="41"/>
  <c r="AA427" i="41" s="1"/>
  <c r="H135" i="105"/>
  <c r="S400" i="41"/>
  <c r="S399" i="41"/>
  <c r="Z423" i="41"/>
  <c r="Z427" i="41" s="1"/>
  <c r="X423" i="41"/>
  <c r="X427" i="41" s="1"/>
  <c r="H136" i="105"/>
  <c r="J206" i="105"/>
  <c r="J79" i="82" s="1"/>
  <c r="J68" i="82"/>
  <c r="J207" i="105"/>
  <c r="J80" i="82" s="1"/>
  <c r="A4" i="106"/>
  <c r="J61" i="55"/>
  <c r="U399" i="41"/>
  <c r="U401" i="41"/>
  <c r="U400" i="41"/>
  <c r="V423" i="41" l="1"/>
  <c r="V427" i="41" s="1"/>
  <c r="T423" i="41"/>
  <c r="T427" i="41" s="1"/>
  <c r="S423" i="41"/>
  <c r="S427" i="41" s="1"/>
  <c r="U423" i="41"/>
  <c r="H431" i="41" a="1"/>
  <c r="H431" i="41" s="1"/>
  <c r="U427" i="41" l="1"/>
  <c r="H427" i="41" s="1"/>
  <c r="H433" i="41" s="1"/>
  <c r="H423" i="41"/>
  <c r="J58" i="55" l="1"/>
  <c r="A4" i="41"/>
  <c r="AK168" i="105" l="1"/>
  <c r="AK170" i="105" s="1"/>
  <c r="AO168" i="105"/>
  <c r="AO170" i="105" s="1"/>
  <c r="AO172" i="105" s="1"/>
  <c r="AM168" i="105"/>
  <c r="AM170" i="105" s="1"/>
  <c r="AI168" i="105"/>
  <c r="AI170" i="105" s="1"/>
  <c r="AH168" i="105"/>
  <c r="AH170" i="105" s="1"/>
  <c r="AN168" i="105"/>
  <c r="AN170" i="105" s="1"/>
  <c r="AL168" i="105"/>
  <c r="AL170" i="105" s="1"/>
  <c r="AK172" i="105" l="1"/>
  <c r="AK174" i="105"/>
  <c r="AM172" i="105"/>
  <c r="AM174" i="105"/>
  <c r="AL174" i="105"/>
  <c r="AK71" i="82" s="1"/>
  <c r="AL172" i="105"/>
  <c r="AK70" i="82" s="1"/>
  <c r="AH172" i="105"/>
  <c r="AH70" i="82" s="1"/>
  <c r="AH174" i="105"/>
  <c r="AH71" i="82" s="1"/>
  <c r="AN172" i="105"/>
  <c r="AL70" i="82" s="1"/>
  <c r="AN174" i="105"/>
  <c r="AL71" i="82" s="1"/>
  <c r="AI174" i="105"/>
  <c r="AI71" i="82" s="1"/>
  <c r="AI172" i="105"/>
  <c r="AI70" i="82" s="1"/>
  <c r="L168" i="105"/>
  <c r="L170" i="105" s="1"/>
  <c r="Q168" i="105"/>
  <c r="Q170" i="105" s="1"/>
  <c r="L172" i="105" l="1"/>
  <c r="L70" i="82" s="1"/>
  <c r="L174" i="105"/>
  <c r="L71" i="82" s="1"/>
  <c r="Q172" i="105"/>
  <c r="Q70" i="82" s="1"/>
  <c r="Q174" i="105"/>
  <c r="Q71" i="82" s="1"/>
  <c r="W168" i="105"/>
  <c r="W170" i="105" s="1"/>
  <c r="AB168" i="105"/>
  <c r="AB170" i="105" s="1"/>
  <c r="W172" i="105" l="1"/>
  <c r="W70" i="82" s="1"/>
  <c r="W174" i="105"/>
  <c r="W71" i="82" s="1"/>
  <c r="AB172" i="105"/>
  <c r="AB70" i="82" s="1"/>
  <c r="AB174" i="105"/>
  <c r="AB71" i="82" s="1"/>
  <c r="R168" i="105" l="1"/>
  <c r="R170" i="105" s="1"/>
  <c r="K168" i="105"/>
  <c r="K170" i="105" s="1"/>
  <c r="K174" i="105" l="1"/>
  <c r="K71" i="82" s="1"/>
  <c r="K172" i="105"/>
  <c r="K70" i="82" s="1"/>
  <c r="R174" i="105"/>
  <c r="R71" i="82" s="1"/>
  <c r="R172" i="105"/>
  <c r="R70" i="82" s="1"/>
  <c r="AJ168" i="105"/>
  <c r="AJ170" i="105" s="1"/>
  <c r="AJ174" i="105" l="1"/>
  <c r="AJ71" i="82" s="1"/>
  <c r="AJ172" i="105"/>
  <c r="AJ70" i="82" s="1"/>
  <c r="AG168" i="105" l="1"/>
  <c r="AG170" i="105" s="1"/>
  <c r="AG174" i="105" l="1"/>
  <c r="AG71" i="82" s="1"/>
  <c r="AG172" i="105"/>
  <c r="AG70" i="82" s="1"/>
  <c r="M168" i="105"/>
  <c r="M170" i="105" s="1"/>
  <c r="P168" i="105"/>
  <c r="P170" i="105" s="1"/>
  <c r="P174" i="105" l="1"/>
  <c r="P71" i="82" s="1"/>
  <c r="P172" i="105"/>
  <c r="P70" i="82" s="1"/>
  <c r="M174" i="105"/>
  <c r="M71" i="82" s="1"/>
  <c r="M172" i="105"/>
  <c r="M70" i="82" s="1"/>
  <c r="X168" i="105"/>
  <c r="X170" i="105" s="1"/>
  <c r="U168" i="105"/>
  <c r="U170" i="105" s="1"/>
  <c r="AA168" i="105"/>
  <c r="AA170" i="105" s="1"/>
  <c r="AF168" i="105"/>
  <c r="AF170" i="105" s="1"/>
  <c r="O168" i="105"/>
  <c r="O170" i="105" s="1"/>
  <c r="Z168" i="105"/>
  <c r="Z170" i="105" s="1"/>
  <c r="N168" i="105"/>
  <c r="N170" i="105" s="1"/>
  <c r="V168" i="105"/>
  <c r="V170" i="105" s="1"/>
  <c r="N174" i="105" l="1"/>
  <c r="N71" i="82" s="1"/>
  <c r="N172" i="105"/>
  <c r="N70" i="82" s="1"/>
  <c r="O172" i="105"/>
  <c r="O70" i="82" s="1"/>
  <c r="O174" i="105"/>
  <c r="O71" i="82" s="1"/>
  <c r="AA172" i="105"/>
  <c r="AA70" i="82" s="1"/>
  <c r="AA174" i="105"/>
  <c r="AA71" i="82" s="1"/>
  <c r="U174" i="105"/>
  <c r="U71" i="82" s="1"/>
  <c r="U172" i="105"/>
  <c r="U70" i="82" s="1"/>
  <c r="AF174" i="105"/>
  <c r="AF71" i="82" s="1"/>
  <c r="AF172" i="105"/>
  <c r="AF70" i="82" s="1"/>
  <c r="X174" i="105"/>
  <c r="X71" i="82" s="1"/>
  <c r="X172" i="105"/>
  <c r="X70" i="82" s="1"/>
  <c r="Z172" i="105"/>
  <c r="Z70" i="82" s="1"/>
  <c r="Z174" i="105"/>
  <c r="Z71" i="82" s="1"/>
  <c r="V172" i="105"/>
  <c r="V70" i="82" s="1"/>
  <c r="V174" i="105"/>
  <c r="V71" i="82" s="1"/>
  <c r="T168" i="105"/>
  <c r="T170" i="105" s="1"/>
  <c r="AC168" i="105"/>
  <c r="AC170" i="105" s="1"/>
  <c r="AE168" i="105"/>
  <c r="AE170" i="105" s="1"/>
  <c r="S168" i="105"/>
  <c r="S170" i="105" s="1"/>
  <c r="J168" i="105" l="1"/>
  <c r="H234" i="87" a="1"/>
  <c r="H234" i="87" s="1"/>
  <c r="H236" i="87" s="1"/>
  <c r="T174" i="105"/>
  <c r="T71" i="82" s="1"/>
  <c r="T172" i="105"/>
  <c r="T70" i="82" s="1"/>
  <c r="AE172" i="105"/>
  <c r="AE70" i="82" s="1"/>
  <c r="AE174" i="105"/>
  <c r="AE71" i="82" s="1"/>
  <c r="AC172" i="105"/>
  <c r="AC70" i="82" s="1"/>
  <c r="AC174" i="105"/>
  <c r="AC71" i="82" s="1"/>
  <c r="S172" i="105"/>
  <c r="S70" i="82" s="1"/>
  <c r="S174" i="105"/>
  <c r="S71" i="82" s="1"/>
  <c r="AD168" i="105"/>
  <c r="AD170" i="105" s="1"/>
  <c r="Y168" i="105"/>
  <c r="Y170" i="105" s="1"/>
  <c r="AD172" i="105" l="1"/>
  <c r="AD70" i="82" s="1"/>
  <c r="AD174" i="105"/>
  <c r="AD71" i="82" s="1"/>
  <c r="Y174" i="105"/>
  <c r="Y71" i="82" s="1"/>
  <c r="Y172" i="105"/>
  <c r="Y70" i="82" s="1"/>
  <c r="A4" i="87"/>
  <c r="J40" i="55"/>
  <c r="J170" i="105"/>
  <c r="J174" i="105" l="1"/>
  <c r="J71" i="82" s="1"/>
  <c r="J172" i="105"/>
  <c r="J70" i="82" l="1"/>
  <c r="H84" i="82" s="1" a="1"/>
  <c r="H84" i="82" s="1"/>
  <c r="H211" i="105" a="1"/>
  <c r="H211" i="105" s="1"/>
  <c r="A4" i="105" l="1"/>
  <c r="J60" i="55"/>
  <c r="A4" i="82"/>
  <c r="J62" i="55"/>
  <c r="J63" i="55" l="1"/>
  <c r="A4" i="55" s="1"/>
</calcChain>
</file>

<file path=xl/sharedStrings.xml><?xml version="1.0" encoding="utf-8"?>
<sst xmlns="http://schemas.openxmlformats.org/spreadsheetml/2006/main" count="7964" uniqueCount="1173">
  <si>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</si>
  <si>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</si>
  <si>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</si>
  <si>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</si>
  <si>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</si>
  <si>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</si>
  <si>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</si>
  <si>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</si>
  <si>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</si>
  <si>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</si>
  <si>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</si>
  <si>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</si>
  <si>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</si>
  <si>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</si>
  <si>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</si>
  <si>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</si>
  <si>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</si>
  <si>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</si>
  <si>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</si>
  <si>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</si>
  <si>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</si>
  <si>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</si>
  <si>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</si>
  <si>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</si>
  <si>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</si>
  <si>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</si>
  <si>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</si>
  <si>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</si>
  <si>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</si>
  <si>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</si>
  <si>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</si>
  <si>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</si>
  <si>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</si>
  <si>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</si>
  <si>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</si>
  <si>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</si>
  <si>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</si>
  <si>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</si>
  <si>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</si>
  <si>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</si>
  <si>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</si>
  <si>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</si>
  <si>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</si>
  <si>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</si>
  <si>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</si>
  <si>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</si>
  <si>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</si>
  <si>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</si>
  <si>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</si>
  <si>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</si>
  <si>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</si>
  <si>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</si>
  <si>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</si>
  <si>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</si>
  <si>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</si>
  <si>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</si>
  <si>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</si>
  <si>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</si>
  <si>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</si>
  <si>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</si>
  <si>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</si>
  <si>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</si>
  <si>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</si>
  <si>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</si>
  <si>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</si>
  <si>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</si>
  <si>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</si>
  <si>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</si>
  <si>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</si>
  <si>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</si>
  <si>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</si>
  <si>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</si>
  <si>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</si>
  <si>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</si>
  <si>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</si>
  <si>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</si>
  <si>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</si>
  <si>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</si>
  <si>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</si>
  <si>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</si>
  <si>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</si>
  <si>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</si>
  <si>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</si>
  <si>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</si>
  <si>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</si>
  <si>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</si>
  <si>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</si>
  <si>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</si>
  <si>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</si>
  <si>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</si>
  <si>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</si>
  <si>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</si>
  <si>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</si>
  <si>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</si>
  <si>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</si>
  <si>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</si>
  <si>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</si>
  <si>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</si>
  <si>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</si>
  <si>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</si>
  <si>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</si>
  <si>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</si>
  <si>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</si>
  <si>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</si>
  <si>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</si>
  <si>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</si>
  <si>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</si>
  <si>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</si>
  <si>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</si>
  <si>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</si>
  <si>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</si>
  <si>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</si>
  <si>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</si>
  <si>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</si>
  <si>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</si>
  <si>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</si>
  <si>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</si>
  <si>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</si>
  <si>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</si>
  <si>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</si>
  <si>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</si>
  <si>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</si>
  <si>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</si>
  <si>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</si>
  <si>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</si>
  <si>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</si>
  <si>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</si>
  <si>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</si>
  <si>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</si>
  <si>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</si>
  <si>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</si>
  <si>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</si>
  <si>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</si>
  <si>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</si>
  <si>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</si>
  <si>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</si>
  <si>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</si>
  <si>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</si>
  <si>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</si>
  <si>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</si>
  <si>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</si>
  <si>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</si>
  <si>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</si>
  <si>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</si>
  <si>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</si>
  <si>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</si>
  <si>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</si>
  <si>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</si>
  <si>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</si>
  <si>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</si>
  <si>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</si>
  <si>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</si>
  <si>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</si>
  <si>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</si>
  <si>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</si>
  <si>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</si>
  <si>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</si>
  <si>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</si>
  <si>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</si>
  <si>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</si>
  <si>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</si>
  <si>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</si>
  <si>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</si>
  <si>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</si>
  <si>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</si>
  <si>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</si>
  <si>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</si>
  <si>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</si>
  <si>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</si>
  <si>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</si>
  <si>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</si>
  <si>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</si>
  <si>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</si>
  <si>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</si>
  <si>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</si>
  <si>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</si>
  <si>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</si>
  <si>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</si>
  <si>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</si>
  <si>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</si>
  <si>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</si>
  <si>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</si>
  <si>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</si>
  <si>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</si>
  <si>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</si>
  <si>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</si>
  <si>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</si>
  <si>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</si>
  <si>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</si>
  <si>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</si>
  <si>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</si>
  <si>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</si>
  <si>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</si>
  <si>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</si>
  <si>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</si>
  <si>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</si>
  <si>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</si>
  <si>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</si>
  <si>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</si>
  <si>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</si>
  <si>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</si>
  <si>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</si>
  <si>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</si>
  <si>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</si>
  <si>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</si>
  <si>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</si>
  <si>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</si>
  <si>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</si>
  <si>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</si>
  <si>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</si>
  <si>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</si>
  <si>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</si>
  <si>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</si>
  <si>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</si>
  <si>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</si>
  <si>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</si>
  <si>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</si>
  <si>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</si>
  <si>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</si>
  <si>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</si>
  <si>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</si>
  <si>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</si>
  <si>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</si>
  <si>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</si>
  <si>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</si>
  <si>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</si>
  <si>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</si>
  <si>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</si>
  <si>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</si>
  <si>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</si>
  <si>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</si>
  <si>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</si>
  <si>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</si>
  <si>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</si>
  <si>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</si>
  <si>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</si>
  <si>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</si>
  <si>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</si>
  <si>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</si>
  <si>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</si>
  <si>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</si>
  <si>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</si>
  <si>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</si>
  <si>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</si>
  <si>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</si>
  <si>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</si>
  <si>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</si>
  <si>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</si>
  <si>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</si>
  <si>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</si>
  <si>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</si>
  <si>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</si>
  <si>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</si>
  <si>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</si>
  <si>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</si>
  <si>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</si>
  <si>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</si>
  <si>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</si>
  <si>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</si>
  <si>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</si>
  <si>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</si>
  <si>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</si>
  <si>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</si>
  <si>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</si>
  <si>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</si>
  <si>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</si>
  <si>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</si>
  <si>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</si>
  <si>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</si>
  <si>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</si>
  <si>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</si>
  <si>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</si>
  <si>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</si>
  <si>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</si>
  <si>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</si>
  <si>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</si>
  <si>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</si>
  <si>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</si>
  <si>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</si>
  <si>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</si>
  <si>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</si>
  <si>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</si>
  <si>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</si>
  <si>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</si>
  <si>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</si>
  <si>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</si>
  <si>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</si>
  <si>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</si>
  <si>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</si>
  <si>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</si>
  <si>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</si>
  <si>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</si>
  <si>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</si>
  <si>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</si>
  <si>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</si>
  <si>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</si>
  <si>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</si>
  <si>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</si>
  <si>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</si>
  <si>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</si>
  <si>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</si>
  <si>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</si>
  <si>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</si>
  <si>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</si>
  <si>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</si>
  <si>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</si>
  <si>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</si>
  <si>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</si>
  <si>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</si>
  <si>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</si>
  <si>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</si>
  <si>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</si>
  <si>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</si>
  <si>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</si>
  <si>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</si>
  <si>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</si>
  <si>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</si>
  <si>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</si>
  <si>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</si>
  <si>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</si>
  <si>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</si>
  <si>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</si>
  <si>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</si>
  <si>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</si>
  <si>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</si>
  <si>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</si>
  <si>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</si>
  <si>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</si>
  <si>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</si>
  <si>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</si>
  <si>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</si>
  <si>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</si>
  <si>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</si>
  <si>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</si>
  <si>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</si>
  <si>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</si>
  <si>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</si>
  <si>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</si>
  <si>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</si>
  <si>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</si>
  <si>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</si>
  <si>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</si>
  <si>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</si>
  <si>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</si>
  <si>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</si>
  <si>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</si>
  <si>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</si>
  <si>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</si>
  <si>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</si>
  <si>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</si>
  <si>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</si>
  <si>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</si>
  <si>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</si>
  <si>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</si>
  <si>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</si>
  <si>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</si>
  <si>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</si>
  <si>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</si>
  <si>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</si>
  <si>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</si>
  <si>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</si>
  <si>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</si>
  <si>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</si>
  <si>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</si>
  <si>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</si>
  <si>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</si>
  <si>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</si>
  <si>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</si>
  <si>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</si>
  <si>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</si>
  <si>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</si>
  <si>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</si>
  <si>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</si>
  <si>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</si>
  <si>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</si>
  <si>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</si>
  <si>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</si>
  <si>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</si>
  <si>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</si>
  <si>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</si>
  <si>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</si>
  <si>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</si>
  <si>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</si>
  <si>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</si>
  <si>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</si>
  <si>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</si>
  <si>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</si>
  <si>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</si>
  <si>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</si>
  <si>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</si>
  <si>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</si>
  <si>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</si>
  <si>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</si>
  <si>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</si>
  <si>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</si>
  <si>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</si>
  <si>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</si>
  <si>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</si>
  <si>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</si>
  <si>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</si>
  <si>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</si>
  <si>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</si>
  <si>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</si>
  <si>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</si>
  <si>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</si>
  <si>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</si>
  <si>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</si>
  <si>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</si>
  <si>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</si>
  <si>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</si>
  <si>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</si>
  <si>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</si>
  <si>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</si>
  <si>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</si>
  <si>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</si>
  <si>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</si>
  <si>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</si>
  <si>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</si>
  <si>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</si>
  <si>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</si>
  <si>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</si>
  <si>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</si>
  <si>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</si>
  <si>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</si>
  <si>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</si>
  <si>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</si>
  <si>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</si>
  <si>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</si>
  <si>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</si>
  <si>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</si>
  <si>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</si>
  <si>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</si>
  <si>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</si>
  <si>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</si>
  <si>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</si>
  <si>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</si>
  <si>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</si>
  <si>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</si>
  <si>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</si>
  <si>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</si>
  <si>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</si>
  <si>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</si>
  <si>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</si>
  <si>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</si>
  <si>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</si>
  <si>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</si>
  <si>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</si>
  <si>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</si>
  <si>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</si>
  <si>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</si>
  <si>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</si>
  <si>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</si>
  <si>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</si>
  <si>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</si>
  <si>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</si>
  <si>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</si>
  <si>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</si>
  <si>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</si>
  <si>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</si>
  <si>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</si>
  <si>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</si>
  <si>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</si>
  <si>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</si>
  <si>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</si>
  <si>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</si>
  <si>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</si>
  <si>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</si>
  <si>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</si>
  <si>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</si>
  <si>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</si>
  <si>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</si>
  <si>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</si>
  <si>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</si>
  <si>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</si>
  <si>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</si>
  <si>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</si>
  <si>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</si>
  <si>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</si>
  <si>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</si>
  <si>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</si>
  <si>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</si>
  <si>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</si>
  <si>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</si>
  <si>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</si>
  <si>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</si>
  <si>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</si>
  <si>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</si>
  <si>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</si>
  <si>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</si>
  <si>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</si>
  <si>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</si>
  <si>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</si>
  <si>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</si>
  <si>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</si>
  <si>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</si>
  <si>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</si>
  <si>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</si>
  <si>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</si>
  <si>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</si>
  <si>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</si>
  <si>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</si>
  <si>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</si>
  <si>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</si>
  <si>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</si>
  <si>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</si>
  <si>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</si>
  <si>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</si>
  <si>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</si>
  <si>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</si>
  <si>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</si>
  <si>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</si>
  <si>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</si>
  <si>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</si>
  <si>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</si>
  <si>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</si>
  <si>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</si>
  <si>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</si>
  <si>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</si>
  <si>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</si>
  <si>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</si>
  <si>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</si>
  <si>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</si>
  <si>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</si>
  <si>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</si>
  <si>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</si>
  <si>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</si>
  <si>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</si>
  <si>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</si>
  <si>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</si>
  <si>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</si>
  <si>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</si>
  <si>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</si>
  <si>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</si>
  <si>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</si>
  <si>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</si>
  <si>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</si>
  <si>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</si>
  <si>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</si>
  <si>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</si>
  <si>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</si>
  <si>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</si>
  <si>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</si>
  <si>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</si>
  <si>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</si>
  <si>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</si>
  <si>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</si>
  <si>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</si>
  <si>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</si>
  <si>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</si>
  <si>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</si>
  <si>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</si>
  <si>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</si>
  <si>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</si>
  <si>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</si>
  <si>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</si>
  <si>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</si>
  <si>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</si>
  <si>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</si>
  <si>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</si>
  <si>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</si>
  <si>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</si>
  <si>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</si>
  <si>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</si>
  <si>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</si>
  <si>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</si>
  <si>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</si>
  <si>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</si>
  <si>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</si>
  <si>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</si>
  <si>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</si>
  <si>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</si>
  <si>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</si>
  <si>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</si>
  <si>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</si>
  <si>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</si>
  <si>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</si>
  <si>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</si>
  <si>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</si>
  <si>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</si>
  <si>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</si>
  <si>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</si>
  <si>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</si>
  <si>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</si>
  <si>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</si>
  <si>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</si>
  <si>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</si>
  <si>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</si>
  <si>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</si>
  <si>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</si>
  <si>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</si>
  <si>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</si>
  <si>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</si>
  <si>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</si>
  <si>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</si>
  <si>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</si>
  <si>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</si>
  <si>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</si>
  <si>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</si>
  <si>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</si>
  <si>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</si>
  <si>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</si>
  <si>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</si>
  <si>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</si>
  <si>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</si>
  <si>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</si>
  <si>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</si>
  <si>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</si>
  <si>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</si>
  <si>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</si>
  <si>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</si>
  <si>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</si>
  <si>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</si>
  <si>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</si>
  <si>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</si>
  <si>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</si>
  <si>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</si>
  <si>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</si>
  <si>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</si>
  <si>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</si>
  <si>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</si>
  <si>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</si>
  <si>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</si>
  <si>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</si>
  <si>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</si>
  <si>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</si>
  <si>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</si>
  <si>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</si>
  <si>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</si>
  <si>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</si>
  <si>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</si>
  <si>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</si>
  <si>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</si>
  <si>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</si>
  <si>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</si>
  <si>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</si>
  <si>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</si>
  <si>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</si>
  <si>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</si>
  <si>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</si>
  <si>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</si>
  <si>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</si>
  <si>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</si>
  <si>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</si>
  <si>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</si>
  <si>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</si>
  <si>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</si>
  <si>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</si>
  <si>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</si>
  <si>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</si>
  <si>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</si>
  <si>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</si>
  <si>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</si>
  <si>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</si>
  <si>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</si>
  <si>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</si>
  <si>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</si>
  <si>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</si>
  <si>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</si>
  <si>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</si>
  <si>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</si>
  <si>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</si>
  <si>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</si>
  <si>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</si>
  <si>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</si>
  <si>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</si>
  <si>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</si>
  <si>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</si>
  <si>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</si>
  <si>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</si>
  <si>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</si>
  <si>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</si>
  <si>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</si>
  <si>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</si>
  <si>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</si>
  <si>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</si>
  <si>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</si>
  <si>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</si>
  <si>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</si>
  <si>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</si>
  <si>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</si>
  <si>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</si>
  <si>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</si>
  <si>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</si>
  <si>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</si>
  <si>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</si>
  <si>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</si>
  <si>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</si>
  <si>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</si>
  <si>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</si>
  <si>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</si>
  <si>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</si>
  <si>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</si>
  <si>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</si>
  <si>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</si>
  <si>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</si>
  <si>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</si>
  <si>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</si>
  <si>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</si>
  <si>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</si>
  <si>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</si>
  <si>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</si>
  <si>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</si>
  <si>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</si>
  <si>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</si>
  <si>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</si>
  <si>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</si>
  <si>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</si>
  <si>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</si>
  <si>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</si>
  <si>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</si>
  <si>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</si>
  <si>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</si>
  <si>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</si>
  <si>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</si>
  <si>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</si>
  <si>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</si>
  <si>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</si>
  <si>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</si>
  <si>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</si>
  <si>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</si>
  <si>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</si>
  <si>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</si>
  <si>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</si>
  <si>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</si>
  <si>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</si>
  <si>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</si>
  <si>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</si>
  <si>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</si>
  <si>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</si>
  <si>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</si>
  <si>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</si>
  <si>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</si>
  <si>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</si>
  <si>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</si>
  <si>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</si>
  <si>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</si>
  <si>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</si>
  <si>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</si>
  <si>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</si>
  <si>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</si>
  <si>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</si>
  <si>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</si>
  <si>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</si>
  <si>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</si>
  <si>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</si>
  <si>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</si>
  <si>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</si>
  <si>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</si>
  <si>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</si>
  <si>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</si>
  <si>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</si>
  <si>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</si>
  <si>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</si>
  <si>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</si>
  <si>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</si>
  <si>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</si>
  <si>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</si>
  <si>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</si>
  <si>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</si>
  <si>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</si>
  <si>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</si>
  <si>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</si>
  <si>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</si>
  <si>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</si>
  <si>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</si>
  <si>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</si>
  <si>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</si>
  <si>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</si>
  <si>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</si>
  <si>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</si>
  <si>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</si>
  <si>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</si>
  <si>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</si>
  <si>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</si>
  <si>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</si>
  <si>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</si>
  <si>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</si>
  <si>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</si>
  <si>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</si>
  <si>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</si>
  <si>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</si>
  <si>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</si>
  <si>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</si>
  <si>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</si>
  <si>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</si>
  <si>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</si>
  <si>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</si>
  <si>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</si>
  <si>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</si>
  <si>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</si>
  <si>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</si>
  <si>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</si>
  <si>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</si>
  <si>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</si>
  <si>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</si>
  <si>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</si>
  <si>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</si>
  <si>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</si>
  <si>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</si>
  <si>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</si>
  <si>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</si>
  <si>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</si>
  <si>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</si>
  <si>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</si>
  <si>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</si>
  <si>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</si>
  <si>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</si>
  <si>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</si>
  <si>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</si>
  <si>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</si>
  <si>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</si>
  <si>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</si>
  <si>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</si>
  <si>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</si>
  <si>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</si>
  <si>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</si>
  <si>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</si>
  <si>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</si>
  <si>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</si>
  <si>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</si>
  <si>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</si>
  <si>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</si>
  <si>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</si>
  <si>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</si>
  <si>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</si>
  <si>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</si>
  <si>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</si>
  <si>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</si>
  <si>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</si>
  <si>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</si>
  <si>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</si>
  <si>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</si>
  <si>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</si>
  <si>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</si>
  <si>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</si>
  <si>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</si>
  <si>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</si>
  <si>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</si>
  <si>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</si>
  <si>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</si>
  <si>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</si>
  <si>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</si>
  <si>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</si>
  <si>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</si>
  <si>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</si>
  <si>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</si>
  <si>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</si>
  <si>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</si>
  <si>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</si>
  <si>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</si>
  <si>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</si>
  <si>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</si>
  <si>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</si>
  <si>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</si>
  <si>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</si>
  <si>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</si>
  <si>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</si>
  <si>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</si>
  <si>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</si>
  <si>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</si>
  <si>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</si>
  <si>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</si>
  <si>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</si>
  <si>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</si>
  <si>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</si>
  <si>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</si>
  <si>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</si>
  <si>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</si>
  <si>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</si>
  <si>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</si>
  <si>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</si>
  <si>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</si>
  <si>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</si>
  <si>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</si>
  <si>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</si>
  <si>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</si>
  <si>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</si>
  <si>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</si>
  <si>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</si>
  <si>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</si>
  <si>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</si>
  <si>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</si>
  <si>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</si>
  <si>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</si>
  <si>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</si>
  <si>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</si>
  <si>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</si>
  <si>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</si>
  <si>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</si>
  <si>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</si>
  <si>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</si>
  <si>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</si>
  <si>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</si>
  <si>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</si>
  <si>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</si>
  <si>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</si>
  <si>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</si>
  <si>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</si>
  <si>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</si>
  <si>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</si>
  <si>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</si>
  <si>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</si>
  <si>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</si>
  <si>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</si>
  <si>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</si>
  <si>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</si>
  <si>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</si>
  <si>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</si>
  <si>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</si>
  <si>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</si>
  <si>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</si>
  <si>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</si>
  <si>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</si>
  <si>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</si>
  <si>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</si>
  <si>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</si>
  <si>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</si>
  <si>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</si>
  <si>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</si>
  <si>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</si>
  <si>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</si>
  <si>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</si>
  <si>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</si>
  <si>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</si>
  <si>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</si>
  <si>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</si>
  <si>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</si>
  <si>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</si>
  <si>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</si>
  <si>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</si>
  <si>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</si>
  <si>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</si>
  <si>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</si>
  <si>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</si>
  <si>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</si>
  <si>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</si>
  <si>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</si>
  <si>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</si>
  <si>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</si>
  <si>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</si>
  <si>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</si>
  <si>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</si>
  <si>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</si>
  <si>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</si>
  <si>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</si>
  <si>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</si>
  <si>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</si>
  <si>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</si>
  <si>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</si>
  <si>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</si>
  <si>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</si>
  <si>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</si>
  <si>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</si>
  <si>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</si>
  <si>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</si>
  <si>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</si>
  <si>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</si>
  <si>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</si>
  <si>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</si>
  <si>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</si>
  <si>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</si>
  <si>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</si>
  <si>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</si>
  <si>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</si>
  <si>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</si>
  <si>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</si>
  <si>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</si>
  <si>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</si>
  <si>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</si>
  <si>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</si>
  <si>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</si>
  <si>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</si>
  <si>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</si>
  <si>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</si>
  <si>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</si>
  <si>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</si>
  <si>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</si>
  <si>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</si>
  <si>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</si>
  <si>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</si>
  <si>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</si>
  <si>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</si>
  <si>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</si>
  <si>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</si>
  <si>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</si>
  <si>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</si>
  <si>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</si>
  <si>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</si>
  <si>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</si>
  <si>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</si>
  <si>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</si>
  <si>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</si>
  <si>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</si>
  <si>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</si>
  <si>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</si>
  <si>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</si>
  <si>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</si>
  <si>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</si>
  <si>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</si>
  <si>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</si>
  <si>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</si>
  <si>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</si>
  <si>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</si>
  <si>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</si>
  <si>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</si>
  <si>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</si>
  <si>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</si>
  <si>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</si>
  <si>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</si>
  <si>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</si>
  <si>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</si>
  <si>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</si>
  <si>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</si>
  <si>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</si>
  <si>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</si>
  <si>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</si>
  <si>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</si>
  <si>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</si>
  <si>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</si>
  <si>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</si>
  <si>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</si>
  <si>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</si>
  <si>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</si>
  <si>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</si>
  <si>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</si>
  <si>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</si>
  <si>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</si>
  <si>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</si>
  <si>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</si>
  <si>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</si>
  <si>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</si>
  <si>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</si>
  <si>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</si>
  <si>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</si>
  <si>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</si>
  <si>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</si>
  <si>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</si>
  <si>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</si>
  <si>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</si>
  <si>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</si>
  <si>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</si>
  <si>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</si>
  <si>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</si>
  <si>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</si>
  <si>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</si>
  <si>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</si>
  <si>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</si>
  <si>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</si>
  <si>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</si>
  <si>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</si>
  <si>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</si>
  <si>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</si>
  <si>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</si>
  <si>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</si>
  <si>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</si>
  <si>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</si>
  <si>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</si>
  <si>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</si>
  <si>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</si>
  <si>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</si>
  <si>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</si>
  <si>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</si>
  <si>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</si>
  <si>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</si>
  <si>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</si>
  <si>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</si>
  <si>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</si>
  <si>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</si>
  <si>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</si>
  <si>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</si>
  <si>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</si>
  <si>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</si>
  <si>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</si>
  <si>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</si>
  <si>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</si>
  <si>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</si>
  <si>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</si>
  <si>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</si>
  <si>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</si>
  <si>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</si>
  <si>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</si>
  <si>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</si>
  <si>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</si>
  <si>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</si>
  <si>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</si>
  <si>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</si>
  <si>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</si>
  <si>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</si>
  <si>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</si>
  <si>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</si>
  <si>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</si>
  <si>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</si>
  <si>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</si>
  <si>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</si>
  <si>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</si>
  <si>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</si>
  <si>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</si>
  <si>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</si>
  <si>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</si>
  <si>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</si>
  <si>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</si>
  <si>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</si>
  <si>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</si>
  <si>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</si>
  <si>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</si>
  <si>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</si>
  <si>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</si>
  <si>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</si>
  <si>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</si>
  <si>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</si>
  <si>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</si>
  <si>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</si>
  <si>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</si>
  <si>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</si>
  <si>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</si>
  <si>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</si>
  <si>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</si>
  <si>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</si>
  <si>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</si>
  <si>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</si>
  <si>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</si>
  <si>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</si>
  <si>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</si>
  <si>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</si>
  <si>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</si>
  <si>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</si>
  <si>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</si>
  <si>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</si>
  <si>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</si>
  <si>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</si>
  <si>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</si>
  <si>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</si>
  <si>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</si>
  <si>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</si>
  <si>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</si>
  <si>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</si>
  <si>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</si>
  <si>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</si>
  <si>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</si>
  <si>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</si>
  <si>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</si>
  <si>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</si>
  <si>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</si>
  <si>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</si>
  <si>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</si>
  <si>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</si>
  <si>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</si>
  <si>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</si>
  <si>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</si>
  <si>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</si>
  <si>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</si>
  <si>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</si>
  <si>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</si>
  <si>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</si>
  <si>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</si>
  <si>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</si>
  <si>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</si>
  <si>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</si>
  <si>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</si>
  <si>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</si>
  <si>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</si>
  <si>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</si>
  <si>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</si>
  <si>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</si>
  <si>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</si>
  <si>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</si>
  <si>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</si>
  <si>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</si>
  <si>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</si>
  <si>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</si>
  <si>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</si>
  <si>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SP Distribution</t>
  </si>
  <si>
    <t>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</si>
</sst>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0.00;\-;@"/>
    <numFmt numFmtId="180" formatCode="#,##0.0%;\-#,##0.0%;\-"/>
    <numFmt numFmtId="181" formatCode="0.000000000000"/>
    <numFmt numFmtId="182" formatCode="0.00000000000000000%"/>
    <numFmt numFmtId="183" formatCode="#,##0.000000_ ;\-#,##0.000000\ "/>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sz val="11"/>
      <color theme="0" tint="-0.249977111117893"/>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0"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79"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9"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79"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79"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9"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79"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79"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3" xfId="51" applyNumberFormat="1" applyBorder="1">
      <protection locked="0"/>
    </xf>
    <xf numFmtId="175" fontId="8" fillId="2" borderId="0" xfId="51" applyNumberFormat="1" applyBorder="1">
      <protection locked="0"/>
    </xf>
    <xf numFmtId="9" fontId="8" fillId="2" borderId="2"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0" fontId="8" fillId="2" borderId="0" xfId="51" applyAlignment="1" applyProtection="1">
      <alignment horizontal="left" vertical="top" wrapText="1"/>
      <protection locked="0"/>
    </xf>
    <xf numFmtId="9" fontId="8" fillId="2" borderId="0" xfId="51" applyNumberFormat="1" applyProtection="1">
      <protection locked="0"/>
    </xf>
    <xf numFmtId="175" fontId="8" fillId="2" borderId="0" xfId="51" applyNumberFormat="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75" fontId="8" fillId="2" borderId="2" xfId="51" applyNumberFormat="1" applyBorder="1" applyProtection="1">
      <protection locked="0"/>
    </xf>
    <xf numFmtId="175" fontId="8" fillId="2" borderId="3" xfId="51" applyNumberFormat="1" applyBorder="1" applyProtection="1">
      <protection locked="0"/>
    </xf>
    <xf numFmtId="10" fontId="8" fillId="2" borderId="0" xfId="51" applyNumberFormat="1" applyProtection="1">
      <protection locked="0"/>
    </xf>
    <xf numFmtId="176" fontId="8" fillId="2" borderId="0" xfId="51" applyNumberFormat="1">
      <protection locked="0"/>
    </xf>
    <xf numFmtId="0" fontId="0" fillId="0" borderId="0" xfId="0" applyFill="1"/>
    <xf numFmtId="0" fontId="7" fillId="0" borderId="2" xfId="50" applyFill="1" applyBorder="1"/>
    <xf numFmtId="0" fontId="7" fillId="0" borderId="0" xfId="50" applyFill="1"/>
    <xf numFmtId="0" fontId="7" fillId="0" borderId="3" xfId="50" applyFill="1" applyBorder="1"/>
    <xf numFmtId="182" fontId="0" fillId="0" borderId="0" xfId="0" applyNumberFormat="1"/>
    <xf numFmtId="1" fontId="0" fillId="0" borderId="0" xfId="0" applyNumberFormat="1" applyFill="1"/>
    <xf numFmtId="181" fontId="0" fillId="0" borderId="0" xfId="0" applyNumberFormat="1" applyFill="1"/>
    <xf numFmtId="177" fontId="8" fillId="2" borderId="0" xfId="51" applyNumberFormat="1">
      <protection locked="0"/>
    </xf>
    <xf numFmtId="9" fontId="40" fillId="0" borderId="0" xfId="0" applyNumberFormat="1" applyFont="1"/>
    <xf numFmtId="0" fontId="40" fillId="0" borderId="0" xfId="0" applyFont="1"/>
    <xf numFmtId="176" fontId="8" fillId="2" borderId="0" xfId="51" applyNumberFormat="1" applyProtection="1">
      <protection locked="0"/>
    </xf>
    <xf numFmtId="183" fontId="0" fillId="0" borderId="0" xfId="0" applyNumberFormat="1"/>
    <xf numFmtId="10" fontId="8" fillId="2" borderId="2" xfId="51" applyNumberFormat="1" applyBorder="1" applyProtection="1">
      <protection locked="0"/>
    </xf>
    <xf numFmtId="10" fontId="8" fillId="2" borderId="3" xfId="51" applyNumberFormat="1" applyBorder="1" applyProtection="1">
      <protection locked="0"/>
    </xf>
    <xf numFmtId="10" fontId="8" fillId="2" borderId="3" xfId="51" applyNumberFormat="1" applyBorder="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1168</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1126</v>
      </c>
    </row>
    <row r="17" spans="2:4" x14ac:dyDescent="0.25">
      <c r="D17" s="4" t="s">
        <v>2</v>
      </c>
    </row>
    <row r="18" spans="2:4" x14ac:dyDescent="0.25">
      <c r="D18" s="3"/>
    </row>
    <row r="19" spans="2:4" ht="15" customHeight="1" x14ac:dyDescent="0.25">
      <c r="B19" s="20" t="s">
        <v>3</v>
      </c>
      <c r="D19" s="420" t="s">
        <v>1169</v>
      </c>
    </row>
    <row r="21" spans="2:4" ht="15" customHeight="1" x14ac:dyDescent="0.25">
      <c r="B21" s="20" t="s">
        <v>4</v>
      </c>
      <c r="D21" s="443" t="s">
        <v>1171</v>
      </c>
    </row>
    <row r="23" spans="2:4" ht="15" customHeight="1" x14ac:dyDescent="0.25">
      <c r="B23" s="20" t="s">
        <v>5</v>
      </c>
      <c r="D23" s="420" t="s">
        <v>1172</v>
      </c>
    </row>
    <row r="25" spans="2:4" ht="30" customHeight="1" x14ac:dyDescent="0.25">
      <c r="B25" s="20" t="s">
        <v>6</v>
      </c>
      <c r="D25" s="420" t="s">
        <v>7</v>
      </c>
    </row>
    <row r="26" spans="2:4" ht="15" customHeight="1" x14ac:dyDescent="0.25">
      <c r="B26" s="20"/>
    </row>
    <row r="27" spans="2:4" ht="15" customHeight="1" x14ac:dyDescent="0.25">
      <c r="B27" s="20" t="s">
        <v>8</v>
      </c>
    </row>
    <row r="28" spans="2:4" ht="15" customHeight="1" x14ac:dyDescent="0.25">
      <c r="B28" s="25" t="s">
        <v>9</v>
      </c>
      <c r="C28" s="26"/>
      <c r="D28" s="26" t="s">
        <v>10</v>
      </c>
    </row>
    <row r="29" spans="2:4" x14ac:dyDescent="0.25">
      <c r="B29" s="27"/>
      <c r="C29" s="28"/>
      <c r="D29" s="28" t="s">
        <v>11</v>
      </c>
    </row>
    <row r="30" spans="2:4" x14ac:dyDescent="0.25">
      <c r="B30" s="16" t="s">
        <v>12</v>
      </c>
      <c r="D30" s="3" t="s">
        <v>13</v>
      </c>
    </row>
    <row r="31" spans="2:4" x14ac:dyDescent="0.25">
      <c r="B31" s="421" t="s">
        <v>12</v>
      </c>
      <c r="D31" s="3" t="s">
        <v>14</v>
      </c>
    </row>
    <row r="32" spans="2:4" x14ac:dyDescent="0.25">
      <c r="B32" s="422" t="s">
        <v>12</v>
      </c>
      <c r="D32" s="3" t="s">
        <v>15</v>
      </c>
    </row>
    <row r="33" spans="2:4" x14ac:dyDescent="0.25">
      <c r="B33" s="29" t="s">
        <v>12</v>
      </c>
      <c r="D33" s="3" t="s">
        <v>16</v>
      </c>
    </row>
    <row r="34" spans="2:4" x14ac:dyDescent="0.25">
      <c r="B34" s="30" t="s">
        <v>12</v>
      </c>
      <c r="D34" s="3" t="s">
        <v>17</v>
      </c>
    </row>
    <row r="35" spans="2:4" x14ac:dyDescent="0.25">
      <c r="B35" s="31" t="s">
        <v>12</v>
      </c>
      <c r="D35" s="3" t="s">
        <v>18</v>
      </c>
    </row>
    <row r="36" spans="2:4" x14ac:dyDescent="0.25">
      <c r="B36" s="32" t="s">
        <v>12</v>
      </c>
      <c r="D36" s="3" t="s">
        <v>19</v>
      </c>
    </row>
    <row r="37" spans="2:4" x14ac:dyDescent="0.25">
      <c r="B37" s="33" t="s">
        <v>20</v>
      </c>
      <c r="D37" s="3" t="s">
        <v>21</v>
      </c>
    </row>
    <row r="38" spans="2:4" ht="15" customHeight="1" x14ac:dyDescent="0.25">
      <c r="B38" s="34" t="s">
        <v>20</v>
      </c>
      <c r="D38" s="3" t="s">
        <v>22</v>
      </c>
    </row>
    <row r="39" spans="2:4" ht="15" customHeight="1" x14ac:dyDescent="0.25">
      <c r="B39" s="26" t="s">
        <v>20</v>
      </c>
      <c r="D39" s="3" t="s">
        <v>23</v>
      </c>
    </row>
    <row r="40" spans="2:4" ht="15" customHeight="1" x14ac:dyDescent="0.25">
      <c r="B40" s="35" t="s">
        <v>20</v>
      </c>
      <c r="D40" s="3" t="s">
        <v>24</v>
      </c>
    </row>
    <row r="41" spans="2:4" ht="15" customHeight="1" x14ac:dyDescent="0.25">
      <c r="B41" s="36" t="s">
        <v>20</v>
      </c>
      <c r="D41" s="3" t="s">
        <v>25</v>
      </c>
    </row>
    <row r="42" spans="2:4" ht="15" customHeight="1" x14ac:dyDescent="0.25">
      <c r="B42" s="37" t="s">
        <v>20</v>
      </c>
      <c r="D42" s="3" t="s">
        <v>26</v>
      </c>
    </row>
    <row r="43" spans="2:4" ht="15" customHeight="1" x14ac:dyDescent="0.25">
      <c r="B43" s="38" t="s">
        <v>27</v>
      </c>
      <c r="D43" s="3" t="s">
        <v>28</v>
      </c>
    </row>
    <row r="44" spans="2:4" ht="15" customHeight="1" x14ac:dyDescent="0.25">
      <c r="B44" s="39" t="s">
        <v>27</v>
      </c>
      <c r="D44" s="3" t="s">
        <v>29</v>
      </c>
    </row>
    <row r="45" spans="2:4" ht="15" customHeight="1" x14ac:dyDescent="0.25">
      <c r="B45" s="40" t="s">
        <v>27</v>
      </c>
      <c r="D45" s="3" t="s">
        <v>30</v>
      </c>
    </row>
    <row r="46" spans="2:4" ht="15" customHeight="1" x14ac:dyDescent="0.25">
      <c r="B46" s="41" t="s">
        <v>27</v>
      </c>
      <c r="C46" s="42"/>
      <c r="D46" s="42" t="s">
        <v>31</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365</v>
      </c>
      <c r="E9"/>
    </row>
    <row r="10" spans="1:27" x14ac:dyDescent="0.25">
      <c r="C10" s="71" t="s">
        <v>366</v>
      </c>
      <c r="E10"/>
    </row>
    <row r="11" spans="1:27" x14ac:dyDescent="0.25">
      <c r="C11" s="71" t="s">
        <v>367</v>
      </c>
      <c r="E11"/>
    </row>
    <row r="12" spans="1:27" x14ac:dyDescent="0.25">
      <c r="C12" s="71" t="s">
        <v>368</v>
      </c>
      <c r="E12"/>
    </row>
    <row r="13" spans="1:27" x14ac:dyDescent="0.25">
      <c r="C13" s="71"/>
      <c r="E13"/>
    </row>
    <row r="14" spans="1:27" x14ac:dyDescent="0.25">
      <c r="C14" s="71" t="s">
        <v>369</v>
      </c>
      <c r="E14"/>
    </row>
    <row r="15" spans="1:27" x14ac:dyDescent="0.25">
      <c r="C15" s="71" t="s">
        <v>370</v>
      </c>
      <c r="E15"/>
    </row>
    <row r="17" spans="2:27" x14ac:dyDescent="0.25">
      <c r="B17" s="70" t="s">
        <v>371</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372</v>
      </c>
      <c r="F21" s="2"/>
    </row>
    <row r="22" spans="2:27" x14ac:dyDescent="0.25">
      <c r="D22" s="100"/>
      <c r="F22" s="2"/>
    </row>
    <row r="23" spans="2:27" x14ac:dyDescent="0.25">
      <c r="D23"/>
      <c r="E23" s="60" t="s">
        <v>373</v>
      </c>
      <c r="F23" s="60"/>
      <c r="I23" t="s">
        <v>154</v>
      </c>
      <c r="AA23" t="s">
        <v>203</v>
      </c>
    </row>
    <row r="24" spans="2:27" x14ac:dyDescent="0.25">
      <c r="D24"/>
      <c r="E24" s="71" t="s">
        <v>374</v>
      </c>
    </row>
    <row r="25" spans="2:27" x14ac:dyDescent="0.25">
      <c r="D25" s="100"/>
      <c r="F25" s="90" t="s">
        <v>189</v>
      </c>
      <c r="G25" s="90" t="s">
        <v>167</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191</v>
      </c>
      <c r="G26" t="s">
        <v>167</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192</v>
      </c>
      <c r="G27" t="s">
        <v>167</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193</v>
      </c>
      <c r="G28" t="s">
        <v>167</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194</v>
      </c>
      <c r="G29" t="s">
        <v>167</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195</v>
      </c>
      <c r="G30" t="s">
        <v>167</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196</v>
      </c>
      <c r="G31" t="s">
        <v>167</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197</v>
      </c>
      <c r="G32" t="s">
        <v>167</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198</v>
      </c>
      <c r="G33" t="s">
        <v>167</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199</v>
      </c>
      <c r="G34" t="s">
        <v>167</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375</v>
      </c>
      <c r="G35" t="s">
        <v>167</v>
      </c>
      <c r="J35" s="95"/>
      <c r="K35" s="95"/>
      <c r="L35" s="95"/>
      <c r="M35" s="95"/>
      <c r="N35" s="95"/>
      <c r="O35" s="95"/>
      <c r="P35" s="95"/>
      <c r="Q35" s="95"/>
      <c r="R35" s="95"/>
      <c r="S35" s="95"/>
      <c r="T35" s="95"/>
      <c r="U35" s="95"/>
      <c r="V35" s="95"/>
      <c r="W35" s="95"/>
      <c r="X35" s="95"/>
      <c r="Y35" s="95"/>
    </row>
    <row r="36" spans="4:27" x14ac:dyDescent="0.25">
      <c r="D36" s="100"/>
      <c r="F36" s="91" t="s">
        <v>376</v>
      </c>
      <c r="G36" s="91" t="s">
        <v>167</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281</v>
      </c>
      <c r="F38" s="2"/>
    </row>
    <row r="39" spans="4:27" x14ac:dyDescent="0.25">
      <c r="D39" s="100"/>
      <c r="E39"/>
      <c r="F39" s="89" t="s">
        <v>281</v>
      </c>
      <c r="G39" s="89" t="s">
        <v>167</v>
      </c>
      <c r="H39" s="150">
        <f>'Inputs by network level'!P17</f>
        <v>0</v>
      </c>
    </row>
    <row r="40" spans="4:27" x14ac:dyDescent="0.25">
      <c r="D40" s="100"/>
      <c r="F40" s="2"/>
    </row>
    <row r="41" spans="4:27" x14ac:dyDescent="0.25">
      <c r="D41"/>
      <c r="E41" s="60" t="s">
        <v>377</v>
      </c>
      <c r="F41" s="60"/>
    </row>
    <row r="42" spans="4:27" x14ac:dyDescent="0.25">
      <c r="D42"/>
      <c r="E42" s="71" t="s">
        <v>378</v>
      </c>
    </row>
    <row r="43" spans="4:27" x14ac:dyDescent="0.25">
      <c r="D43" s="100"/>
      <c r="F43" s="90" t="s">
        <v>189</v>
      </c>
      <c r="G43" s="90" t="s">
        <v>167</v>
      </c>
      <c r="H43" s="90"/>
      <c r="I43" s="90"/>
      <c r="J43" s="94"/>
      <c r="K43" s="94"/>
      <c r="L43" s="94"/>
      <c r="M43" s="94"/>
      <c r="N43" s="94"/>
      <c r="O43" s="94"/>
      <c r="P43" s="94"/>
      <c r="Q43" s="94"/>
      <c r="R43" s="94"/>
      <c r="S43" s="94"/>
      <c r="T43" s="94"/>
      <c r="U43" s="94"/>
      <c r="V43" s="94"/>
      <c r="W43" s="94"/>
      <c r="X43" s="94"/>
      <c r="Y43" s="94"/>
    </row>
    <row r="44" spans="4:27" x14ac:dyDescent="0.25">
      <c r="D44" s="100"/>
      <c r="F44" t="s">
        <v>191</v>
      </c>
      <c r="G44" t="s">
        <v>167</v>
      </c>
      <c r="J44" s="95"/>
      <c r="K44" s="95"/>
      <c r="L44" s="95"/>
      <c r="M44" s="95"/>
      <c r="N44" s="95"/>
      <c r="O44" s="95"/>
      <c r="P44" s="95"/>
      <c r="Q44" s="95"/>
      <c r="R44" s="95"/>
      <c r="S44" s="95"/>
      <c r="T44" s="95"/>
      <c r="U44" s="95"/>
      <c r="V44" s="95"/>
      <c r="W44" s="95"/>
      <c r="X44" s="95"/>
      <c r="Y44" s="95"/>
    </row>
    <row r="45" spans="4:27" x14ac:dyDescent="0.25">
      <c r="D45" s="100"/>
      <c r="F45" s="151" t="s">
        <v>192</v>
      </c>
      <c r="G45" s="151" t="s">
        <v>167</v>
      </c>
      <c r="H45" s="151"/>
      <c r="I45" s="151" t="s">
        <v>154</v>
      </c>
      <c r="J45" s="152">
        <f>IF($H$39 = 0, J27, J29 * $H$39)</f>
        <v>0</v>
      </c>
      <c r="K45" s="152">
        <f t="shared" ref="K45:Q45" si="0">IF($H$39 = 0, K27, K29 * $H$39)</f>
        <v>0</v>
      </c>
      <c r="L45" s="152">
        <f t="shared" si="0"/>
        <v>0</v>
      </c>
      <c r="M45" s="152">
        <f t="shared" si="0"/>
        <v>0</v>
      </c>
      <c r="N45" s="152">
        <f t="shared" si="0"/>
        <v>0</v>
      </c>
      <c r="O45" s="152">
        <f t="shared" si="0"/>
        <v>0</v>
      </c>
      <c r="P45" s="152">
        <f t="shared" si="0"/>
        <v>0</v>
      </c>
      <c r="Q45" s="152">
        <f t="shared" si="0"/>
        <v>0</v>
      </c>
      <c r="R45" s="153"/>
      <c r="S45" s="153"/>
      <c r="T45" s="153"/>
      <c r="U45" s="153"/>
      <c r="V45" s="153"/>
      <c r="W45" s="153"/>
      <c r="X45" s="153"/>
      <c r="Y45" s="153"/>
      <c r="AA45" t="s">
        <v>379</v>
      </c>
    </row>
    <row r="46" spans="4:27" x14ac:dyDescent="0.25">
      <c r="D46" s="100"/>
      <c r="F46" t="s">
        <v>193</v>
      </c>
      <c r="G46" t="s">
        <v>167</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194</v>
      </c>
      <c r="G47" t="s">
        <v>167</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195</v>
      </c>
      <c r="G48" t="s">
        <v>167</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196</v>
      </c>
      <c r="G49" s="151" t="s">
        <v>167</v>
      </c>
      <c r="H49" s="151"/>
      <c r="I49" s="151" t="s">
        <v>154</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380</v>
      </c>
    </row>
    <row r="50" spans="2:27" x14ac:dyDescent="0.25">
      <c r="D50" s="100"/>
      <c r="F50" t="s">
        <v>197</v>
      </c>
      <c r="G50" t="s">
        <v>167</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198</v>
      </c>
      <c r="G51" t="s">
        <v>167</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199</v>
      </c>
      <c r="G52" t="s">
        <v>167</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375</v>
      </c>
      <c r="G53" t="s">
        <v>167</v>
      </c>
      <c r="J53" s="95"/>
      <c r="K53" s="95"/>
      <c r="L53" s="95"/>
      <c r="M53" s="95"/>
      <c r="N53" s="95"/>
      <c r="O53" s="95"/>
      <c r="P53" s="95"/>
      <c r="Q53" s="95"/>
      <c r="R53" s="95"/>
      <c r="S53" s="95"/>
      <c r="T53" s="95"/>
      <c r="U53" s="95"/>
      <c r="V53" s="95"/>
      <c r="W53" s="95"/>
      <c r="X53" s="95"/>
      <c r="Y53" s="95"/>
    </row>
    <row r="54" spans="2:27" x14ac:dyDescent="0.25">
      <c r="D54" s="100"/>
      <c r="F54" s="91" t="s">
        <v>376</v>
      </c>
      <c r="G54" s="91" t="s">
        <v>167</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231</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232</v>
      </c>
      <c r="G58" s="6" t="s">
        <v>55</v>
      </c>
      <c r="H58" s="108">
        <f t="array" ref="H58">SUM(IF(ISERROR(H25:Y54), 1))</f>
        <v>0</v>
      </c>
    </row>
    <row r="59" spans="2:27" x14ac:dyDescent="0.25">
      <c r="D59"/>
      <c r="E59"/>
    </row>
    <row r="60" spans="2:27" x14ac:dyDescent="0.25">
      <c r="B60" s="70" t="s">
        <v>106</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One</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I5" s="157"/>
      <c r="J5" s="102"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25">
      <c r="H6" s="3"/>
      <c r="I6" s="71"/>
      <c r="J6" s="3"/>
      <c r="K6" s="3"/>
      <c r="L6" s="3"/>
      <c r="M6" s="3"/>
      <c r="N6" s="3"/>
      <c r="O6" s="3"/>
      <c r="P6" s="3"/>
      <c r="Q6" s="3"/>
      <c r="R6" s="3"/>
      <c r="S6" s="3"/>
      <c r="T6" s="3"/>
      <c r="U6" s="3"/>
      <c r="W6" s="3"/>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381</v>
      </c>
    </row>
    <row r="10" spans="1:23" x14ac:dyDescent="0.25">
      <c r="C10" s="71" t="s">
        <v>382</v>
      </c>
    </row>
    <row r="11" spans="1:23" x14ac:dyDescent="0.25">
      <c r="C11" s="71" t="s">
        <v>383</v>
      </c>
    </row>
    <row r="13" spans="1:23" x14ac:dyDescent="0.25">
      <c r="B13" s="70" t="s">
        <v>384</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386</v>
      </c>
      <c r="F19" s="158"/>
      <c r="G19" s="46" t="s">
        <v>167</v>
      </c>
      <c r="H19" s="3"/>
      <c r="I19" s="3"/>
      <c r="J19" s="134"/>
      <c r="K19" s="159">
        <f>'Inputs by network level'!K15</f>
        <v>0.11600000000000001</v>
      </c>
      <c r="L19" s="159">
        <f>'Inputs by network level'!L15</f>
        <v>0</v>
      </c>
      <c r="M19" s="134"/>
      <c r="N19" s="159">
        <f>'Inputs by network level'!N15</f>
        <v>0.13</v>
      </c>
      <c r="O19" s="134"/>
      <c r="P19" s="134"/>
      <c r="Q19" s="159">
        <f>'Inputs by network level'!Q15</f>
        <v>0.25</v>
      </c>
      <c r="R19" s="134"/>
      <c r="S19" s="134"/>
      <c r="T19" s="95"/>
      <c r="U19" s="95"/>
    </row>
    <row r="20" spans="2:23" x14ac:dyDescent="0.25">
      <c r="E20" t="s">
        <v>243</v>
      </c>
      <c r="F20" s="158"/>
      <c r="G20" s="46" t="s">
        <v>167</v>
      </c>
      <c r="H20" s="3"/>
      <c r="I20" s="3"/>
      <c r="J20" s="160">
        <f t="shared" ref="J20" si="0">IF(I20 = "", 1, I20 / (1 + J19))</f>
        <v>1</v>
      </c>
      <c r="K20" s="160">
        <f>IF(J20 = "", 1, J20 / (1 + K19))</f>
        <v>0.8960573476702508</v>
      </c>
      <c r="L20" s="160">
        <f t="shared" ref="L20:S20" si="1">IF(K20 = "", 1, K20 / (1 + L19))</f>
        <v>0.8960573476702508</v>
      </c>
      <c r="M20" s="160">
        <f t="shared" si="1"/>
        <v>0.8960573476702508</v>
      </c>
      <c r="N20" s="160">
        <f t="shared" si="1"/>
        <v>0.79297110413296534</v>
      </c>
      <c r="O20" s="160">
        <f t="shared" si="1"/>
        <v>0.79297110413296534</v>
      </c>
      <c r="P20" s="160">
        <f t="shared" si="1"/>
        <v>0.79297110413296534</v>
      </c>
      <c r="Q20" s="160">
        <f t="shared" si="1"/>
        <v>0.63437688330637232</v>
      </c>
      <c r="R20" s="160">
        <f t="shared" si="1"/>
        <v>0.63437688330637232</v>
      </c>
      <c r="S20" s="160">
        <f t="shared" si="1"/>
        <v>0.63437688330637232</v>
      </c>
      <c r="T20" s="95"/>
      <c r="U20" s="95"/>
    </row>
    <row r="21" spans="2:23" x14ac:dyDescent="0.25">
      <c r="E21" t="s">
        <v>387</v>
      </c>
      <c r="F21" s="158"/>
      <c r="G21" s="46" t="s">
        <v>167</v>
      </c>
      <c r="H21" s="3"/>
      <c r="I21" s="3"/>
      <c r="J21" s="160">
        <f>1 / J20 - 1</f>
        <v>0</v>
      </c>
      <c r="K21" s="160">
        <f t="shared" ref="K21:S21" si="2">1 / K20 - 1</f>
        <v>0.1160000000000001</v>
      </c>
      <c r="L21" s="160">
        <f t="shared" si="2"/>
        <v>0.1160000000000001</v>
      </c>
      <c r="M21" s="160">
        <f t="shared" si="2"/>
        <v>0.1160000000000001</v>
      </c>
      <c r="N21" s="160">
        <f t="shared" si="2"/>
        <v>0.26107999999999998</v>
      </c>
      <c r="O21" s="160">
        <f t="shared" si="2"/>
        <v>0.26107999999999998</v>
      </c>
      <c r="P21" s="160">
        <f t="shared" si="2"/>
        <v>0.26107999999999998</v>
      </c>
      <c r="Q21" s="160">
        <f t="shared" si="2"/>
        <v>0.57634999999999992</v>
      </c>
      <c r="R21" s="160">
        <f t="shared" si="2"/>
        <v>0.57634999999999992</v>
      </c>
      <c r="S21" s="160">
        <f t="shared" si="2"/>
        <v>0.57634999999999992</v>
      </c>
      <c r="T21" s="95"/>
      <c r="U21" s="95"/>
    </row>
    <row r="22" spans="2:23" x14ac:dyDescent="0.25">
      <c r="E22" t="s">
        <v>388</v>
      </c>
      <c r="F22" s="158"/>
      <c r="G22" s="46" t="s">
        <v>167</v>
      </c>
      <c r="H22" s="3"/>
      <c r="I22" s="3"/>
      <c r="J22" s="134"/>
      <c r="K22" s="134"/>
      <c r="L22" s="134"/>
      <c r="M22" s="134"/>
      <c r="N22" s="134"/>
      <c r="O22" s="134"/>
      <c r="P22" s="160">
        <f>M21</f>
        <v>0.1160000000000001</v>
      </c>
      <c r="Q22" s="134"/>
      <c r="R22" s="134"/>
      <c r="S22" s="134"/>
      <c r="T22" s="95"/>
      <c r="U22" s="95"/>
    </row>
    <row r="23" spans="2:23" x14ac:dyDescent="0.25">
      <c r="E23" t="s">
        <v>389</v>
      </c>
      <c r="F23" s="158"/>
      <c r="G23" s="46" t="s">
        <v>167</v>
      </c>
      <c r="H23" s="3"/>
      <c r="I23" s="3" t="s">
        <v>154</v>
      </c>
      <c r="J23" s="161">
        <f t="shared" ref="J23:S23" si="3">IF(J22 = "", J21, J22)</f>
        <v>0</v>
      </c>
      <c r="K23" s="161">
        <f t="shared" si="3"/>
        <v>0.1160000000000001</v>
      </c>
      <c r="L23" s="161">
        <f t="shared" si="3"/>
        <v>0.1160000000000001</v>
      </c>
      <c r="M23" s="161">
        <f t="shared" si="3"/>
        <v>0.1160000000000001</v>
      </c>
      <c r="N23" s="161">
        <f t="shared" si="3"/>
        <v>0.26107999999999998</v>
      </c>
      <c r="O23" s="161">
        <f t="shared" si="3"/>
        <v>0.26107999999999998</v>
      </c>
      <c r="P23" s="161">
        <f t="shared" si="3"/>
        <v>0.1160000000000001</v>
      </c>
      <c r="Q23" s="161">
        <f t="shared" si="3"/>
        <v>0.57634999999999992</v>
      </c>
      <c r="R23" s="161">
        <f t="shared" si="3"/>
        <v>0.57634999999999992</v>
      </c>
      <c r="S23" s="161">
        <f t="shared" si="3"/>
        <v>0.57634999999999992</v>
      </c>
      <c r="T23" s="95"/>
      <c r="U23" s="95"/>
      <c r="W23" s="92" t="s">
        <v>390</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391</v>
      </c>
      <c r="F27" s="162"/>
      <c r="G27" s="113" t="s">
        <v>283</v>
      </c>
      <c r="H27" s="3"/>
      <c r="I27" s="3"/>
      <c r="J27" s="114"/>
      <c r="K27" s="163">
        <f>'Inputs by network level'!K19</f>
        <v>1</v>
      </c>
      <c r="L27" s="163">
        <f>'Inputs by network level'!L19</f>
        <v>1</v>
      </c>
      <c r="M27" s="163">
        <f>'Inputs by network level'!M19</f>
        <v>1</v>
      </c>
      <c r="N27" s="163">
        <f>'Inputs by network level'!N19</f>
        <v>1.0029999999999999</v>
      </c>
      <c r="O27" s="163">
        <f>'Inputs by network level'!O19</f>
        <v>1.0129999999999999</v>
      </c>
      <c r="P27" s="114"/>
      <c r="Q27" s="163">
        <f>'Inputs by network level'!Q19</f>
        <v>1.0249999999999999</v>
      </c>
      <c r="R27" s="163">
        <f>'Inputs by network level'!R19</f>
        <v>1.044</v>
      </c>
      <c r="S27" s="163">
        <f>'Inputs by network level'!S19</f>
        <v>1.109</v>
      </c>
      <c r="T27" s="114"/>
      <c r="U27" s="114"/>
    </row>
    <row r="28" spans="2:23" x14ac:dyDescent="0.25">
      <c r="E28" t="s">
        <v>392</v>
      </c>
      <c r="F28" s="162"/>
      <c r="G28" s="113" t="s">
        <v>283</v>
      </c>
      <c r="H28" s="3"/>
      <c r="I28" s="3"/>
      <c r="J28" s="141">
        <f>K27</f>
        <v>1</v>
      </c>
      <c r="K28" s="114"/>
      <c r="L28" s="114"/>
      <c r="M28" s="114"/>
      <c r="N28" s="114"/>
      <c r="O28" s="114"/>
      <c r="P28" s="141">
        <f>O27</f>
        <v>1.0129999999999999</v>
      </c>
      <c r="Q28" s="114"/>
      <c r="R28" s="114"/>
      <c r="S28" s="114"/>
      <c r="T28" s="114"/>
      <c r="U28" s="114"/>
    </row>
    <row r="29" spans="2:23" x14ac:dyDescent="0.25">
      <c r="E29" t="s">
        <v>393</v>
      </c>
      <c r="F29" s="162"/>
      <c r="G29" s="113" t="s">
        <v>283</v>
      </c>
      <c r="H29" s="3"/>
      <c r="I29" s="3" t="s">
        <v>154</v>
      </c>
      <c r="J29" s="164">
        <f t="shared" ref="J29:S29" si="4">J27 + J28</f>
        <v>1</v>
      </c>
      <c r="K29" s="164">
        <f t="shared" si="4"/>
        <v>1</v>
      </c>
      <c r="L29" s="164">
        <f t="shared" si="4"/>
        <v>1</v>
      </c>
      <c r="M29" s="164">
        <f t="shared" si="4"/>
        <v>1</v>
      </c>
      <c r="N29" s="164">
        <f t="shared" si="4"/>
        <v>1.0029999999999999</v>
      </c>
      <c r="O29" s="164">
        <f t="shared" si="4"/>
        <v>1.0129999999999999</v>
      </c>
      <c r="P29" s="164">
        <f t="shared" si="4"/>
        <v>1.0129999999999999</v>
      </c>
      <c r="Q29" s="164">
        <f t="shared" si="4"/>
        <v>1.0249999999999999</v>
      </c>
      <c r="R29" s="164">
        <f t="shared" si="4"/>
        <v>1.044</v>
      </c>
      <c r="S29" s="164">
        <f t="shared" si="4"/>
        <v>1.109</v>
      </c>
      <c r="T29" s="114"/>
      <c r="U29" s="114"/>
      <c r="W29" s="92" t="s">
        <v>284</v>
      </c>
    </row>
    <row r="30" spans="2:23" x14ac:dyDescent="0.25">
      <c r="F30" s="158"/>
      <c r="G30" s="46"/>
      <c r="H30" s="3"/>
      <c r="I30" s="3"/>
      <c r="J30" s="3"/>
      <c r="K30" s="3"/>
      <c r="L30" s="3"/>
      <c r="M30" s="3"/>
      <c r="N30" s="3"/>
      <c r="O30" s="3"/>
      <c r="Q30" s="3"/>
      <c r="R30" s="3"/>
      <c r="S30" s="3"/>
      <c r="T30" s="3"/>
      <c r="U30" s="3"/>
    </row>
    <row r="31" spans="2:23" x14ac:dyDescent="0.25">
      <c r="B31" s="70" t="s">
        <v>394</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395</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196</v>
      </c>
      <c r="F37" s="89"/>
      <c r="G37" s="113" t="s">
        <v>167</v>
      </c>
      <c r="H37" s="159">
        <f>'Inputs by network level'!P17</f>
        <v>0</v>
      </c>
      <c r="I37" s="3"/>
    </row>
    <row r="38" spans="3:23" x14ac:dyDescent="0.25">
      <c r="E38" t="s">
        <v>396</v>
      </c>
      <c r="F38" s="158"/>
      <c r="G38" s="46" t="s">
        <v>167</v>
      </c>
      <c r="H38" s="3"/>
      <c r="I38" s="3"/>
      <c r="J38" s="95"/>
      <c r="K38" s="95"/>
      <c r="L38" s="95"/>
      <c r="M38" s="165">
        <f>1 - $H$37</f>
        <v>1</v>
      </c>
      <c r="N38" s="165">
        <f>1 - $H$37</f>
        <v>1</v>
      </c>
      <c r="O38" s="165">
        <f>1 - $H$37</f>
        <v>1</v>
      </c>
      <c r="P38" s="166">
        <f>H37</f>
        <v>0</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397</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187</v>
      </c>
      <c r="G44" s="46"/>
    </row>
    <row r="45" spans="3:23" x14ac:dyDescent="0.25">
      <c r="E45" s="71" t="s">
        <v>398</v>
      </c>
      <c r="G45" s="46"/>
    </row>
    <row r="46" spans="3:23" x14ac:dyDescent="0.25">
      <c r="F46" s="90" t="s">
        <v>1159</v>
      </c>
      <c r="G46" s="111" t="s">
        <v>190</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826</v>
      </c>
      <c r="G47" s="113" t="s">
        <v>190</v>
      </c>
      <c r="J47" s="163">
        <v>1</v>
      </c>
      <c r="K47" s="163">
        <v>1</v>
      </c>
      <c r="L47" s="163">
        <v>1</v>
      </c>
      <c r="M47" s="163">
        <v>1</v>
      </c>
      <c r="N47" s="163">
        <v>1</v>
      </c>
      <c r="O47" s="163">
        <v>1</v>
      </c>
      <c r="P47" s="163">
        <v>1</v>
      </c>
      <c r="Q47" s="163">
        <v>1</v>
      </c>
      <c r="R47" s="163">
        <v>1</v>
      </c>
      <c r="S47" s="163">
        <v>1</v>
      </c>
      <c r="T47" s="114"/>
      <c r="U47" s="114"/>
    </row>
    <row r="48" spans="3:23" x14ac:dyDescent="0.25">
      <c r="F48" t="s">
        <v>1160</v>
      </c>
      <c r="G48" s="113" t="s">
        <v>190</v>
      </c>
      <c r="J48" s="163">
        <v>1</v>
      </c>
      <c r="K48" s="163">
        <v>1</v>
      </c>
      <c r="L48" s="163">
        <v>1</v>
      </c>
      <c r="M48" s="163">
        <v>1</v>
      </c>
      <c r="N48" s="163">
        <v>1</v>
      </c>
      <c r="O48" s="163">
        <v>1</v>
      </c>
      <c r="P48" s="163">
        <v>1</v>
      </c>
      <c r="Q48" s="163">
        <v>1</v>
      </c>
      <c r="R48" s="163">
        <v>1</v>
      </c>
      <c r="S48" s="163">
        <v>1</v>
      </c>
      <c r="T48" s="114"/>
      <c r="U48" s="114"/>
    </row>
    <row r="49" spans="5:21" x14ac:dyDescent="0.25">
      <c r="F49" t="s">
        <v>827</v>
      </c>
      <c r="G49" s="113" t="s">
        <v>190</v>
      </c>
      <c r="J49" s="163">
        <v>1</v>
      </c>
      <c r="K49" s="163">
        <v>1</v>
      </c>
      <c r="L49" s="163">
        <v>1</v>
      </c>
      <c r="M49" s="163">
        <v>1</v>
      </c>
      <c r="N49" s="163">
        <v>1</v>
      </c>
      <c r="O49" s="163">
        <v>1</v>
      </c>
      <c r="P49" s="163">
        <v>1</v>
      </c>
      <c r="Q49" s="163">
        <v>1</v>
      </c>
      <c r="R49" s="163">
        <v>1</v>
      </c>
      <c r="S49" s="163">
        <v>1</v>
      </c>
      <c r="T49" s="114"/>
      <c r="U49" s="114"/>
    </row>
    <row r="50" spans="5:21" x14ac:dyDescent="0.25">
      <c r="F50" t="s">
        <v>833</v>
      </c>
      <c r="G50" s="113" t="s">
        <v>190</v>
      </c>
      <c r="J50" s="163">
        <v>1</v>
      </c>
      <c r="K50" s="163">
        <v>1</v>
      </c>
      <c r="L50" s="163">
        <v>1</v>
      </c>
      <c r="M50" s="163">
        <v>1</v>
      </c>
      <c r="N50" s="163">
        <v>1</v>
      </c>
      <c r="O50" s="163">
        <v>1</v>
      </c>
      <c r="P50" s="163">
        <v>1</v>
      </c>
      <c r="Q50" s="163">
        <v>1</v>
      </c>
      <c r="R50" s="163">
        <v>1</v>
      </c>
      <c r="S50" s="163">
        <v>1</v>
      </c>
      <c r="T50" s="114"/>
      <c r="U50" s="114"/>
    </row>
    <row r="51" spans="5:21" x14ac:dyDescent="0.25">
      <c r="F51" t="s">
        <v>834</v>
      </c>
      <c r="G51" s="113" t="s">
        <v>190</v>
      </c>
      <c r="J51" s="163">
        <v>1</v>
      </c>
      <c r="K51" s="163">
        <v>1</v>
      </c>
      <c r="L51" s="163">
        <v>1</v>
      </c>
      <c r="M51" s="163">
        <v>1</v>
      </c>
      <c r="N51" s="163">
        <v>1</v>
      </c>
      <c r="O51" s="163">
        <v>1</v>
      </c>
      <c r="P51" s="163">
        <v>1</v>
      </c>
      <c r="Q51" s="163">
        <v>1</v>
      </c>
      <c r="R51" s="163">
        <v>1</v>
      </c>
      <c r="S51" s="163">
        <v>0</v>
      </c>
      <c r="T51" s="114"/>
      <c r="U51" s="114"/>
    </row>
    <row r="52" spans="5:21" x14ac:dyDescent="0.25">
      <c r="F52" t="s">
        <v>835</v>
      </c>
      <c r="G52" s="113" t="s">
        <v>190</v>
      </c>
      <c r="J52" s="163">
        <v>1</v>
      </c>
      <c r="K52" s="163">
        <v>1</v>
      </c>
      <c r="L52" s="163">
        <v>1</v>
      </c>
      <c r="M52" s="163">
        <v>1</v>
      </c>
      <c r="N52" s="163">
        <v>1</v>
      </c>
      <c r="O52" s="163">
        <v>1</v>
      </c>
      <c r="P52" s="163">
        <v>1</v>
      </c>
      <c r="Q52" s="163">
        <v>1</v>
      </c>
      <c r="R52" s="163">
        <v>0</v>
      </c>
      <c r="S52" s="163">
        <v>0</v>
      </c>
      <c r="T52" s="114"/>
      <c r="U52" s="114"/>
    </row>
    <row r="53" spans="5:21" x14ac:dyDescent="0.25">
      <c r="F53" t="s">
        <v>836</v>
      </c>
      <c r="G53" s="113" t="s">
        <v>190</v>
      </c>
      <c r="J53" s="163">
        <v>1</v>
      </c>
      <c r="K53" s="163">
        <v>1</v>
      </c>
      <c r="L53" s="163">
        <v>1</v>
      </c>
      <c r="M53" s="163">
        <v>1</v>
      </c>
      <c r="N53" s="163">
        <v>1</v>
      </c>
      <c r="O53" s="163">
        <v>1</v>
      </c>
      <c r="P53" s="163">
        <v>1</v>
      </c>
      <c r="Q53" s="163">
        <v>1</v>
      </c>
      <c r="R53" s="163">
        <v>1</v>
      </c>
      <c r="S53" s="163">
        <v>1</v>
      </c>
      <c r="T53" s="114"/>
      <c r="U53" s="114"/>
    </row>
    <row r="54" spans="5:21" x14ac:dyDescent="0.25">
      <c r="F54" t="s">
        <v>828</v>
      </c>
      <c r="G54" s="113" t="s">
        <v>190</v>
      </c>
      <c r="J54" s="163">
        <v>-1</v>
      </c>
      <c r="K54" s="163">
        <v>-1</v>
      </c>
      <c r="L54" s="163">
        <v>-1</v>
      </c>
      <c r="M54" s="163">
        <v>-1</v>
      </c>
      <c r="N54" s="163">
        <v>-1</v>
      </c>
      <c r="O54" s="163">
        <v>-1</v>
      </c>
      <c r="P54" s="163">
        <v>-1</v>
      </c>
      <c r="Q54" s="163">
        <v>-1</v>
      </c>
      <c r="R54" s="163">
        <v>-1</v>
      </c>
      <c r="S54" s="163">
        <v>-1</v>
      </c>
      <c r="T54" s="114"/>
      <c r="U54" s="114"/>
    </row>
    <row r="55" spans="5:21" x14ac:dyDescent="0.25">
      <c r="F55" t="s">
        <v>829</v>
      </c>
      <c r="G55" s="113" t="s">
        <v>190</v>
      </c>
      <c r="J55" s="163">
        <v>-1</v>
      </c>
      <c r="K55" s="163">
        <v>-1</v>
      </c>
      <c r="L55" s="163">
        <v>-1</v>
      </c>
      <c r="M55" s="163">
        <v>-1</v>
      </c>
      <c r="N55" s="163">
        <v>-1</v>
      </c>
      <c r="O55" s="163">
        <v>-1</v>
      </c>
      <c r="P55" s="163">
        <v>-1</v>
      </c>
      <c r="Q55" s="163">
        <v>-1</v>
      </c>
      <c r="R55" s="163">
        <v>-1</v>
      </c>
      <c r="S55" s="163">
        <v>0</v>
      </c>
      <c r="T55" s="114"/>
      <c r="U55" s="114"/>
    </row>
    <row r="56" spans="5:21" x14ac:dyDescent="0.25">
      <c r="F56" t="s">
        <v>830</v>
      </c>
      <c r="G56" s="113" t="s">
        <v>190</v>
      </c>
      <c r="J56" s="163">
        <v>-1</v>
      </c>
      <c r="K56" s="163">
        <v>-1</v>
      </c>
      <c r="L56" s="163">
        <v>-1</v>
      </c>
      <c r="M56" s="163">
        <v>-1</v>
      </c>
      <c r="N56" s="163">
        <v>-1</v>
      </c>
      <c r="O56" s="163">
        <v>-1</v>
      </c>
      <c r="P56" s="163">
        <v>-1</v>
      </c>
      <c r="Q56" s="163">
        <v>-1</v>
      </c>
      <c r="R56" s="163">
        <v>-1</v>
      </c>
      <c r="S56" s="163">
        <v>-1</v>
      </c>
      <c r="T56" s="114"/>
      <c r="U56" s="114"/>
    </row>
    <row r="57" spans="5:21" x14ac:dyDescent="0.25">
      <c r="F57" t="s">
        <v>839</v>
      </c>
      <c r="G57" s="113" t="s">
        <v>190</v>
      </c>
      <c r="J57" s="163">
        <v>-1</v>
      </c>
      <c r="K57" s="163">
        <v>-1</v>
      </c>
      <c r="L57" s="163">
        <v>-1</v>
      </c>
      <c r="M57" s="163">
        <v>-1</v>
      </c>
      <c r="N57" s="163">
        <v>-1</v>
      </c>
      <c r="O57" s="163">
        <v>-1</v>
      </c>
      <c r="P57" s="163">
        <v>-1</v>
      </c>
      <c r="Q57" s="163">
        <v>-1</v>
      </c>
      <c r="R57" s="163">
        <v>-1</v>
      </c>
      <c r="S57" s="163">
        <v>-1</v>
      </c>
      <c r="T57" s="114"/>
      <c r="U57" s="114"/>
    </row>
    <row r="58" spans="5:21" x14ac:dyDescent="0.25">
      <c r="F58" t="s">
        <v>831</v>
      </c>
      <c r="G58" s="113" t="s">
        <v>190</v>
      </c>
      <c r="J58" s="163">
        <v>-1</v>
      </c>
      <c r="K58" s="163">
        <v>-1</v>
      </c>
      <c r="L58" s="163">
        <v>-1</v>
      </c>
      <c r="M58" s="163">
        <v>-1</v>
      </c>
      <c r="N58" s="163">
        <v>-1</v>
      </c>
      <c r="O58" s="163">
        <v>-1</v>
      </c>
      <c r="P58" s="163">
        <v>-1</v>
      </c>
      <c r="Q58" s="163">
        <v>-1</v>
      </c>
      <c r="R58" s="163">
        <v>-1</v>
      </c>
      <c r="S58" s="163">
        <v>0</v>
      </c>
      <c r="T58" s="114"/>
      <c r="U58" s="114"/>
    </row>
    <row r="59" spans="5:21" x14ac:dyDescent="0.25">
      <c r="F59" t="s">
        <v>838</v>
      </c>
      <c r="G59" s="113" t="s">
        <v>190</v>
      </c>
      <c r="J59" s="163">
        <v>-1</v>
      </c>
      <c r="K59" s="163">
        <v>-1</v>
      </c>
      <c r="L59" s="163">
        <v>-1</v>
      </c>
      <c r="M59" s="163">
        <v>-1</v>
      </c>
      <c r="N59" s="163">
        <v>-1</v>
      </c>
      <c r="O59" s="163">
        <v>-1</v>
      </c>
      <c r="P59" s="163">
        <v>-1</v>
      </c>
      <c r="Q59" s="163">
        <v>-1</v>
      </c>
      <c r="R59" s="163">
        <v>-1</v>
      </c>
      <c r="S59" s="163">
        <v>0</v>
      </c>
      <c r="T59" s="114"/>
      <c r="U59" s="114"/>
    </row>
    <row r="60" spans="5:21" x14ac:dyDescent="0.25">
      <c r="F60" t="s">
        <v>832</v>
      </c>
      <c r="G60" s="113" t="s">
        <v>190</v>
      </c>
      <c r="J60" s="163">
        <v>-1</v>
      </c>
      <c r="K60" s="163">
        <v>-1</v>
      </c>
      <c r="L60" s="163">
        <v>-1</v>
      </c>
      <c r="M60" s="163">
        <v>-1</v>
      </c>
      <c r="N60" s="163">
        <v>-1</v>
      </c>
      <c r="O60" s="163">
        <v>-1</v>
      </c>
      <c r="P60" s="163">
        <v>-1</v>
      </c>
      <c r="Q60" s="163">
        <v>-1</v>
      </c>
      <c r="R60" s="163">
        <v>0</v>
      </c>
      <c r="S60" s="163">
        <v>0</v>
      </c>
      <c r="T60" s="114"/>
      <c r="U60" s="114"/>
    </row>
    <row r="61" spans="5:21" x14ac:dyDescent="0.25">
      <c r="F61" s="91" t="s">
        <v>837</v>
      </c>
      <c r="G61" s="115" t="s">
        <v>190</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399</v>
      </c>
      <c r="G63" s="46"/>
      <c r="J63" s="101"/>
      <c r="K63" s="101"/>
      <c r="L63" s="101"/>
      <c r="M63" s="101"/>
      <c r="N63" s="101"/>
      <c r="O63" s="101"/>
      <c r="P63" s="101"/>
      <c r="Q63" s="101"/>
      <c r="R63" s="101"/>
      <c r="S63" s="101"/>
      <c r="T63" s="101"/>
      <c r="U63" s="101"/>
    </row>
    <row r="64" spans="5:21" x14ac:dyDescent="0.25">
      <c r="E64" s="71" t="s">
        <v>400</v>
      </c>
      <c r="G64" s="46"/>
      <c r="J64" s="101"/>
      <c r="K64" s="101"/>
      <c r="L64" s="101"/>
      <c r="M64" s="101"/>
      <c r="N64" s="101"/>
      <c r="O64" s="101"/>
      <c r="P64" s="101"/>
      <c r="Q64" s="101"/>
      <c r="R64" s="101"/>
      <c r="S64" s="101"/>
      <c r="T64" s="101"/>
      <c r="U64" s="101"/>
    </row>
    <row r="65" spans="6:23" x14ac:dyDescent="0.25">
      <c r="F65" s="90" t="s">
        <v>1159</v>
      </c>
      <c r="G65" s="111" t="s">
        <v>190</v>
      </c>
      <c r="H65" s="90"/>
      <c r="I65" s="90"/>
      <c r="J65" s="169">
        <f t="shared" ref="J65:S65" si="5">IF(J$38 = "", J46, J46 * J$38)</f>
        <v>1</v>
      </c>
      <c r="K65" s="169">
        <f t="shared" si="5"/>
        <v>1</v>
      </c>
      <c r="L65" s="169">
        <f t="shared" si="5"/>
        <v>1</v>
      </c>
      <c r="M65" s="169">
        <f t="shared" si="5"/>
        <v>1</v>
      </c>
      <c r="N65" s="169">
        <f t="shared" si="5"/>
        <v>1</v>
      </c>
      <c r="O65" s="169">
        <f t="shared" si="5"/>
        <v>1</v>
      </c>
      <c r="P65" s="169">
        <f t="shared" si="5"/>
        <v>0</v>
      </c>
      <c r="Q65" s="169">
        <f t="shared" si="5"/>
        <v>1</v>
      </c>
      <c r="R65" s="169">
        <f t="shared" si="5"/>
        <v>1</v>
      </c>
      <c r="S65" s="169">
        <f t="shared" si="5"/>
        <v>1</v>
      </c>
      <c r="T65" s="112"/>
      <c r="U65" s="112"/>
      <c r="W65" s="3"/>
    </row>
    <row r="66" spans="6:23" x14ac:dyDescent="0.25">
      <c r="F66" t="s">
        <v>826</v>
      </c>
      <c r="G66" s="113" t="s">
        <v>190</v>
      </c>
      <c r="J66" s="141">
        <f t="shared" ref="J66:S66" si="6">IF(J$38 = "", J47, J47 * J$38)</f>
        <v>1</v>
      </c>
      <c r="K66" s="141">
        <f t="shared" si="6"/>
        <v>1</v>
      </c>
      <c r="L66" s="141">
        <f t="shared" si="6"/>
        <v>1</v>
      </c>
      <c r="M66" s="141">
        <f t="shared" si="6"/>
        <v>1</v>
      </c>
      <c r="N66" s="141">
        <f t="shared" si="6"/>
        <v>1</v>
      </c>
      <c r="O66" s="141">
        <f t="shared" si="6"/>
        <v>1</v>
      </c>
      <c r="P66" s="141">
        <f t="shared" si="6"/>
        <v>0</v>
      </c>
      <c r="Q66" s="141">
        <f t="shared" si="6"/>
        <v>1</v>
      </c>
      <c r="R66" s="141">
        <f t="shared" si="6"/>
        <v>1</v>
      </c>
      <c r="S66" s="141">
        <f t="shared" si="6"/>
        <v>1</v>
      </c>
      <c r="T66" s="114"/>
      <c r="U66" s="114"/>
    </row>
    <row r="67" spans="6:23" x14ac:dyDescent="0.25">
      <c r="F67" t="s">
        <v>1160</v>
      </c>
      <c r="G67" s="113" t="s">
        <v>190</v>
      </c>
      <c r="J67" s="141">
        <f t="shared" ref="J67:S67" si="7">IF(J$38 = "", J48, J48 * J$38)</f>
        <v>1</v>
      </c>
      <c r="K67" s="141">
        <f t="shared" si="7"/>
        <v>1</v>
      </c>
      <c r="L67" s="141">
        <f t="shared" si="7"/>
        <v>1</v>
      </c>
      <c r="M67" s="141">
        <f t="shared" si="7"/>
        <v>1</v>
      </c>
      <c r="N67" s="141">
        <f t="shared" si="7"/>
        <v>1</v>
      </c>
      <c r="O67" s="141">
        <f t="shared" si="7"/>
        <v>1</v>
      </c>
      <c r="P67" s="141">
        <f t="shared" si="7"/>
        <v>0</v>
      </c>
      <c r="Q67" s="141">
        <f t="shared" si="7"/>
        <v>1</v>
      </c>
      <c r="R67" s="141">
        <f t="shared" si="7"/>
        <v>1</v>
      </c>
      <c r="S67" s="141">
        <f t="shared" si="7"/>
        <v>1</v>
      </c>
      <c r="T67" s="114"/>
      <c r="U67" s="114"/>
    </row>
    <row r="68" spans="6:23" x14ac:dyDescent="0.25">
      <c r="F68" t="s">
        <v>827</v>
      </c>
      <c r="G68" s="113" t="s">
        <v>190</v>
      </c>
      <c r="J68" s="141">
        <f t="shared" ref="J68:S68" si="8">IF(J$38 = "", J49, J49 * J$38)</f>
        <v>1</v>
      </c>
      <c r="K68" s="141">
        <f t="shared" si="8"/>
        <v>1</v>
      </c>
      <c r="L68" s="141">
        <f t="shared" si="8"/>
        <v>1</v>
      </c>
      <c r="M68" s="141">
        <f t="shared" si="8"/>
        <v>1</v>
      </c>
      <c r="N68" s="141">
        <f t="shared" si="8"/>
        <v>1</v>
      </c>
      <c r="O68" s="141">
        <f t="shared" si="8"/>
        <v>1</v>
      </c>
      <c r="P68" s="141">
        <f t="shared" si="8"/>
        <v>0</v>
      </c>
      <c r="Q68" s="141">
        <f t="shared" si="8"/>
        <v>1</v>
      </c>
      <c r="R68" s="141">
        <f t="shared" si="8"/>
        <v>1</v>
      </c>
      <c r="S68" s="141">
        <f t="shared" si="8"/>
        <v>1</v>
      </c>
      <c r="T68" s="114"/>
      <c r="U68" s="114"/>
    </row>
    <row r="69" spans="6:23" x14ac:dyDescent="0.25">
      <c r="F69" t="s">
        <v>833</v>
      </c>
      <c r="G69" s="113" t="s">
        <v>190</v>
      </c>
      <c r="J69" s="141">
        <f t="shared" ref="J69:S69" si="9">IF(J$38 = "", J50, J50 * J$38)</f>
        <v>1</v>
      </c>
      <c r="K69" s="141">
        <f t="shared" si="9"/>
        <v>1</v>
      </c>
      <c r="L69" s="141">
        <f t="shared" si="9"/>
        <v>1</v>
      </c>
      <c r="M69" s="141">
        <f t="shared" si="9"/>
        <v>1</v>
      </c>
      <c r="N69" s="141">
        <f t="shared" si="9"/>
        <v>1</v>
      </c>
      <c r="O69" s="141">
        <f t="shared" si="9"/>
        <v>1</v>
      </c>
      <c r="P69" s="141">
        <f t="shared" si="9"/>
        <v>0</v>
      </c>
      <c r="Q69" s="141">
        <f t="shared" si="9"/>
        <v>1</v>
      </c>
      <c r="R69" s="141">
        <f t="shared" si="9"/>
        <v>1</v>
      </c>
      <c r="S69" s="141">
        <f t="shared" si="9"/>
        <v>1</v>
      </c>
      <c r="T69" s="114"/>
      <c r="U69" s="114"/>
    </row>
    <row r="70" spans="6:23" x14ac:dyDescent="0.25">
      <c r="F70" t="s">
        <v>834</v>
      </c>
      <c r="G70" s="113" t="s">
        <v>190</v>
      </c>
      <c r="J70" s="141">
        <f t="shared" ref="J70:S70" si="10">IF(J$38 = "", J51, J51 * J$38)</f>
        <v>1</v>
      </c>
      <c r="K70" s="141">
        <f t="shared" si="10"/>
        <v>1</v>
      </c>
      <c r="L70" s="141">
        <f t="shared" si="10"/>
        <v>1</v>
      </c>
      <c r="M70" s="141">
        <f t="shared" si="10"/>
        <v>1</v>
      </c>
      <c r="N70" s="141">
        <f t="shared" si="10"/>
        <v>1</v>
      </c>
      <c r="O70" s="141">
        <f t="shared" si="10"/>
        <v>1</v>
      </c>
      <c r="P70" s="141">
        <f t="shared" si="10"/>
        <v>0</v>
      </c>
      <c r="Q70" s="141">
        <f t="shared" si="10"/>
        <v>1</v>
      </c>
      <c r="R70" s="141">
        <f t="shared" si="10"/>
        <v>1</v>
      </c>
      <c r="S70" s="141">
        <f t="shared" si="10"/>
        <v>0</v>
      </c>
      <c r="T70" s="114"/>
      <c r="U70" s="114"/>
    </row>
    <row r="71" spans="6:23" x14ac:dyDescent="0.25">
      <c r="F71" t="s">
        <v>835</v>
      </c>
      <c r="G71" s="113" t="s">
        <v>190</v>
      </c>
      <c r="J71" s="141">
        <f t="shared" ref="J71:S71" si="11">IF(J$38 = "", J52, J52 * J$38)</f>
        <v>1</v>
      </c>
      <c r="K71" s="141">
        <f t="shared" si="11"/>
        <v>1</v>
      </c>
      <c r="L71" s="141">
        <f t="shared" si="11"/>
        <v>1</v>
      </c>
      <c r="M71" s="141">
        <f t="shared" si="11"/>
        <v>1</v>
      </c>
      <c r="N71" s="141">
        <f t="shared" si="11"/>
        <v>1</v>
      </c>
      <c r="O71" s="141">
        <f t="shared" si="11"/>
        <v>1</v>
      </c>
      <c r="P71" s="141">
        <f t="shared" si="11"/>
        <v>0</v>
      </c>
      <c r="Q71" s="141">
        <f t="shared" si="11"/>
        <v>1</v>
      </c>
      <c r="R71" s="141">
        <f t="shared" si="11"/>
        <v>0</v>
      </c>
      <c r="S71" s="141">
        <f t="shared" si="11"/>
        <v>0</v>
      </c>
      <c r="T71" s="114"/>
      <c r="U71" s="114"/>
    </row>
    <row r="72" spans="6:23" x14ac:dyDescent="0.25">
      <c r="F72" t="s">
        <v>836</v>
      </c>
      <c r="G72" s="113" t="s">
        <v>190</v>
      </c>
      <c r="J72" s="141">
        <f t="shared" ref="J72:S72" si="12">IF(J$38 = "", J53, J53 * J$38)</f>
        <v>1</v>
      </c>
      <c r="K72" s="141">
        <f t="shared" si="12"/>
        <v>1</v>
      </c>
      <c r="L72" s="141">
        <f t="shared" si="12"/>
        <v>1</v>
      </c>
      <c r="M72" s="141">
        <f t="shared" si="12"/>
        <v>1</v>
      </c>
      <c r="N72" s="141">
        <f t="shared" si="12"/>
        <v>1</v>
      </c>
      <c r="O72" s="141">
        <f t="shared" si="12"/>
        <v>1</v>
      </c>
      <c r="P72" s="141">
        <f t="shared" si="12"/>
        <v>0</v>
      </c>
      <c r="Q72" s="141">
        <f t="shared" si="12"/>
        <v>1</v>
      </c>
      <c r="R72" s="141">
        <f t="shared" si="12"/>
        <v>1</v>
      </c>
      <c r="S72" s="141">
        <f t="shared" si="12"/>
        <v>1</v>
      </c>
      <c r="T72" s="114"/>
      <c r="U72" s="114"/>
    </row>
    <row r="73" spans="6:23" x14ac:dyDescent="0.25">
      <c r="F73" t="s">
        <v>828</v>
      </c>
      <c r="G73" s="113" t="s">
        <v>190</v>
      </c>
      <c r="J73" s="141">
        <f t="shared" ref="J73:S73" si="13">IF(J$38 = "", J54, J54 * J$38)</f>
        <v>-1</v>
      </c>
      <c r="K73" s="141">
        <f t="shared" si="13"/>
        <v>-1</v>
      </c>
      <c r="L73" s="141">
        <f t="shared" si="13"/>
        <v>-1</v>
      </c>
      <c r="M73" s="141">
        <f t="shared" si="13"/>
        <v>-1</v>
      </c>
      <c r="N73" s="141">
        <f t="shared" si="13"/>
        <v>-1</v>
      </c>
      <c r="O73" s="141">
        <f t="shared" si="13"/>
        <v>-1</v>
      </c>
      <c r="P73" s="141">
        <f t="shared" si="13"/>
        <v>0</v>
      </c>
      <c r="Q73" s="141">
        <f t="shared" si="13"/>
        <v>-1</v>
      </c>
      <c r="R73" s="141">
        <f t="shared" si="13"/>
        <v>-1</v>
      </c>
      <c r="S73" s="141">
        <f t="shared" si="13"/>
        <v>-1</v>
      </c>
      <c r="T73" s="114"/>
      <c r="U73" s="114"/>
    </row>
    <row r="74" spans="6:23" x14ac:dyDescent="0.25">
      <c r="F74" t="s">
        <v>829</v>
      </c>
      <c r="G74" s="113" t="s">
        <v>190</v>
      </c>
      <c r="J74" s="141">
        <f t="shared" ref="J74:S74" si="14">IF(J$38 = "", J55, J55 * J$38)</f>
        <v>-1</v>
      </c>
      <c r="K74" s="141">
        <f t="shared" si="14"/>
        <v>-1</v>
      </c>
      <c r="L74" s="141">
        <f t="shared" si="14"/>
        <v>-1</v>
      </c>
      <c r="M74" s="141">
        <f t="shared" si="14"/>
        <v>-1</v>
      </c>
      <c r="N74" s="141">
        <f t="shared" si="14"/>
        <v>-1</v>
      </c>
      <c r="O74" s="141">
        <f t="shared" si="14"/>
        <v>-1</v>
      </c>
      <c r="P74" s="141">
        <f t="shared" si="14"/>
        <v>0</v>
      </c>
      <c r="Q74" s="141">
        <f t="shared" si="14"/>
        <v>-1</v>
      </c>
      <c r="R74" s="141">
        <f t="shared" si="14"/>
        <v>-1</v>
      </c>
      <c r="S74" s="141">
        <f t="shared" si="14"/>
        <v>0</v>
      </c>
      <c r="T74" s="114"/>
      <c r="U74" s="114"/>
    </row>
    <row r="75" spans="6:23" x14ac:dyDescent="0.25">
      <c r="F75" t="s">
        <v>830</v>
      </c>
      <c r="G75" s="113" t="s">
        <v>190</v>
      </c>
      <c r="J75" s="141">
        <f t="shared" ref="J75:S75" si="15">IF(J$38 = "", J56, J56 * J$38)</f>
        <v>-1</v>
      </c>
      <c r="K75" s="141">
        <f t="shared" si="15"/>
        <v>-1</v>
      </c>
      <c r="L75" s="141">
        <f t="shared" si="15"/>
        <v>-1</v>
      </c>
      <c r="M75" s="141">
        <f t="shared" si="15"/>
        <v>-1</v>
      </c>
      <c r="N75" s="141">
        <f t="shared" si="15"/>
        <v>-1</v>
      </c>
      <c r="O75" s="141">
        <f t="shared" si="15"/>
        <v>-1</v>
      </c>
      <c r="P75" s="141">
        <f t="shared" si="15"/>
        <v>0</v>
      </c>
      <c r="Q75" s="141">
        <f t="shared" si="15"/>
        <v>-1</v>
      </c>
      <c r="R75" s="141">
        <f t="shared" si="15"/>
        <v>-1</v>
      </c>
      <c r="S75" s="141">
        <f t="shared" si="15"/>
        <v>-1</v>
      </c>
      <c r="T75" s="114"/>
      <c r="U75" s="114"/>
    </row>
    <row r="76" spans="6:23" x14ac:dyDescent="0.25">
      <c r="F76" t="s">
        <v>839</v>
      </c>
      <c r="G76" s="113" t="s">
        <v>190</v>
      </c>
      <c r="J76" s="141">
        <f t="shared" ref="J76:S76" si="16">IF(J$38 = "", J57, J57 * J$38)</f>
        <v>-1</v>
      </c>
      <c r="K76" s="141">
        <f t="shared" si="16"/>
        <v>-1</v>
      </c>
      <c r="L76" s="141">
        <f t="shared" si="16"/>
        <v>-1</v>
      </c>
      <c r="M76" s="141">
        <f t="shared" si="16"/>
        <v>-1</v>
      </c>
      <c r="N76" s="141">
        <f t="shared" si="16"/>
        <v>-1</v>
      </c>
      <c r="O76" s="141">
        <f t="shared" si="16"/>
        <v>-1</v>
      </c>
      <c r="P76" s="141">
        <f t="shared" si="16"/>
        <v>0</v>
      </c>
      <c r="Q76" s="141">
        <f t="shared" si="16"/>
        <v>-1</v>
      </c>
      <c r="R76" s="141">
        <f t="shared" si="16"/>
        <v>-1</v>
      </c>
      <c r="S76" s="141">
        <f t="shared" si="16"/>
        <v>-1</v>
      </c>
      <c r="T76" s="114"/>
      <c r="U76" s="114"/>
    </row>
    <row r="77" spans="6:23" x14ac:dyDescent="0.25">
      <c r="F77" t="s">
        <v>831</v>
      </c>
      <c r="G77" s="113" t="s">
        <v>190</v>
      </c>
      <c r="J77" s="141">
        <f t="shared" ref="J77:S77" si="17">IF(J$38 = "", J58, J58 * J$38)</f>
        <v>-1</v>
      </c>
      <c r="K77" s="141">
        <f t="shared" si="17"/>
        <v>-1</v>
      </c>
      <c r="L77" s="141">
        <f t="shared" si="17"/>
        <v>-1</v>
      </c>
      <c r="M77" s="141">
        <f t="shared" si="17"/>
        <v>-1</v>
      </c>
      <c r="N77" s="141">
        <f t="shared" si="17"/>
        <v>-1</v>
      </c>
      <c r="O77" s="141">
        <f t="shared" si="17"/>
        <v>-1</v>
      </c>
      <c r="P77" s="141">
        <f t="shared" si="17"/>
        <v>0</v>
      </c>
      <c r="Q77" s="141">
        <f t="shared" si="17"/>
        <v>-1</v>
      </c>
      <c r="R77" s="141">
        <f t="shared" si="17"/>
        <v>-1</v>
      </c>
      <c r="S77" s="141">
        <f t="shared" si="17"/>
        <v>0</v>
      </c>
      <c r="T77" s="114"/>
      <c r="U77" s="114"/>
    </row>
    <row r="78" spans="6:23" x14ac:dyDescent="0.25">
      <c r="F78" t="s">
        <v>838</v>
      </c>
      <c r="G78" s="113" t="s">
        <v>190</v>
      </c>
      <c r="J78" s="141">
        <f t="shared" ref="J78:S78" si="18">IF(J$38 = "", J59, J59 * J$38)</f>
        <v>-1</v>
      </c>
      <c r="K78" s="141">
        <f t="shared" si="18"/>
        <v>-1</v>
      </c>
      <c r="L78" s="141">
        <f t="shared" si="18"/>
        <v>-1</v>
      </c>
      <c r="M78" s="141">
        <f t="shared" si="18"/>
        <v>-1</v>
      </c>
      <c r="N78" s="141">
        <f t="shared" si="18"/>
        <v>-1</v>
      </c>
      <c r="O78" s="141">
        <f t="shared" si="18"/>
        <v>-1</v>
      </c>
      <c r="P78" s="141">
        <f t="shared" si="18"/>
        <v>0</v>
      </c>
      <c r="Q78" s="141">
        <f t="shared" si="18"/>
        <v>-1</v>
      </c>
      <c r="R78" s="141">
        <f t="shared" si="18"/>
        <v>-1</v>
      </c>
      <c r="S78" s="141">
        <f t="shared" si="18"/>
        <v>0</v>
      </c>
      <c r="T78" s="114"/>
      <c r="U78" s="114"/>
    </row>
    <row r="79" spans="6:23" x14ac:dyDescent="0.25">
      <c r="F79" t="s">
        <v>832</v>
      </c>
      <c r="G79" s="113" t="s">
        <v>190</v>
      </c>
      <c r="J79" s="141">
        <f t="shared" ref="J79:S79" si="19">IF(J$38 = "", J60, J60 * J$38)</f>
        <v>-1</v>
      </c>
      <c r="K79" s="141">
        <f t="shared" si="19"/>
        <v>-1</v>
      </c>
      <c r="L79" s="141">
        <f t="shared" si="19"/>
        <v>-1</v>
      </c>
      <c r="M79" s="141">
        <f t="shared" si="19"/>
        <v>-1</v>
      </c>
      <c r="N79" s="141">
        <f t="shared" si="19"/>
        <v>-1</v>
      </c>
      <c r="O79" s="141">
        <f t="shared" si="19"/>
        <v>-1</v>
      </c>
      <c r="P79" s="141">
        <f t="shared" si="19"/>
        <v>0</v>
      </c>
      <c r="Q79" s="141">
        <f t="shared" si="19"/>
        <v>-1</v>
      </c>
      <c r="R79" s="141">
        <f t="shared" si="19"/>
        <v>0</v>
      </c>
      <c r="S79" s="141">
        <f t="shared" si="19"/>
        <v>0</v>
      </c>
      <c r="T79" s="114"/>
      <c r="U79" s="114"/>
    </row>
    <row r="80" spans="6:23" x14ac:dyDescent="0.25">
      <c r="F80" s="91" t="s">
        <v>837</v>
      </c>
      <c r="G80" s="115" t="s">
        <v>190</v>
      </c>
      <c r="H80" s="91"/>
      <c r="I80" s="91"/>
      <c r="J80" s="143">
        <f t="shared" ref="J80:S80" si="20">IF(J$38 = "", J61, J61 * J$38)</f>
        <v>-1</v>
      </c>
      <c r="K80" s="143">
        <f t="shared" si="20"/>
        <v>-1</v>
      </c>
      <c r="L80" s="143">
        <f t="shared" si="20"/>
        <v>-1</v>
      </c>
      <c r="M80" s="143">
        <f t="shared" si="20"/>
        <v>-1</v>
      </c>
      <c r="N80" s="143">
        <f t="shared" si="20"/>
        <v>-1</v>
      </c>
      <c r="O80" s="143">
        <f t="shared" si="20"/>
        <v>-1</v>
      </c>
      <c r="P80" s="143">
        <f t="shared" si="20"/>
        <v>0</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200</v>
      </c>
      <c r="G82" s="46"/>
      <c r="I82" t="s">
        <v>154</v>
      </c>
      <c r="J82" s="101"/>
      <c r="K82" s="101"/>
      <c r="L82" s="101"/>
      <c r="M82" s="101"/>
      <c r="N82" s="101"/>
      <c r="O82" s="101"/>
      <c r="P82" s="101"/>
      <c r="Q82" s="101"/>
      <c r="R82" s="101"/>
      <c r="S82" s="101"/>
      <c r="T82" s="101"/>
      <c r="U82" s="101"/>
      <c r="W82" s="3" t="s">
        <v>401</v>
      </c>
    </row>
    <row r="83" spans="5:23" x14ac:dyDescent="0.25">
      <c r="E83" s="71" t="s">
        <v>202</v>
      </c>
      <c r="G83" s="46"/>
      <c r="J83" s="101"/>
      <c r="K83" s="101"/>
      <c r="L83" s="101"/>
      <c r="M83" s="101"/>
      <c r="N83" s="101"/>
      <c r="O83" s="101"/>
      <c r="P83" s="101"/>
      <c r="Q83" s="101"/>
      <c r="R83" s="101"/>
      <c r="S83" s="101"/>
      <c r="T83" s="101"/>
      <c r="U83" s="101"/>
    </row>
    <row r="84" spans="5:23" x14ac:dyDescent="0.25">
      <c r="F84" s="90" t="s">
        <v>1159</v>
      </c>
      <c r="G84" s="111" t="s">
        <v>176</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826</v>
      </c>
      <c r="G85" s="113" t="s">
        <v>176</v>
      </c>
      <c r="J85" s="163">
        <v>1</v>
      </c>
      <c r="K85" s="163">
        <v>1</v>
      </c>
      <c r="L85" s="163">
        <v>1</v>
      </c>
      <c r="M85" s="163">
        <v>1</v>
      </c>
      <c r="N85" s="163">
        <v>1</v>
      </c>
      <c r="O85" s="163">
        <v>1</v>
      </c>
      <c r="P85" s="163">
        <v>1</v>
      </c>
      <c r="Q85" s="163">
        <v>1</v>
      </c>
      <c r="R85" s="163">
        <v>1</v>
      </c>
      <c r="S85" s="163">
        <v>1</v>
      </c>
      <c r="T85" s="114"/>
      <c r="U85" s="114"/>
    </row>
    <row r="86" spans="5:23" x14ac:dyDescent="0.25">
      <c r="F86" t="s">
        <v>1160</v>
      </c>
      <c r="G86" s="113" t="s">
        <v>176</v>
      </c>
      <c r="J86" s="163">
        <v>1</v>
      </c>
      <c r="K86" s="163">
        <v>1</v>
      </c>
      <c r="L86" s="163">
        <v>1</v>
      </c>
      <c r="M86" s="163">
        <v>1</v>
      </c>
      <c r="N86" s="163">
        <v>1</v>
      </c>
      <c r="O86" s="163">
        <v>1</v>
      </c>
      <c r="P86" s="163">
        <v>1</v>
      </c>
      <c r="Q86" s="163">
        <v>1</v>
      </c>
      <c r="R86" s="163">
        <v>1</v>
      </c>
      <c r="S86" s="163">
        <v>1</v>
      </c>
      <c r="T86" s="114"/>
      <c r="U86" s="114"/>
    </row>
    <row r="87" spans="5:23" x14ac:dyDescent="0.25">
      <c r="F87" t="s">
        <v>827</v>
      </c>
      <c r="G87" s="113" t="s">
        <v>176</v>
      </c>
      <c r="J87" s="163">
        <v>1</v>
      </c>
      <c r="K87" s="163">
        <v>1</v>
      </c>
      <c r="L87" s="163">
        <v>1</v>
      </c>
      <c r="M87" s="163">
        <v>1</v>
      </c>
      <c r="N87" s="163">
        <v>1</v>
      </c>
      <c r="O87" s="163">
        <v>1</v>
      </c>
      <c r="P87" s="163">
        <v>1</v>
      </c>
      <c r="Q87" s="163">
        <v>1</v>
      </c>
      <c r="R87" s="163">
        <v>1</v>
      </c>
      <c r="S87" s="163">
        <v>1</v>
      </c>
      <c r="T87" s="114"/>
      <c r="U87" s="114"/>
    </row>
    <row r="88" spans="5:23" x14ac:dyDescent="0.25">
      <c r="F88" t="s">
        <v>833</v>
      </c>
      <c r="G88" s="113" t="s">
        <v>176</v>
      </c>
      <c r="J88" s="163">
        <v>1</v>
      </c>
      <c r="K88" s="163">
        <v>1</v>
      </c>
      <c r="L88" s="163">
        <v>1</v>
      </c>
      <c r="M88" s="163">
        <v>1</v>
      </c>
      <c r="N88" s="163">
        <v>1</v>
      </c>
      <c r="O88" s="163">
        <v>1</v>
      </c>
      <c r="P88" s="163">
        <v>1</v>
      </c>
      <c r="Q88" s="163">
        <v>1</v>
      </c>
      <c r="R88" s="163">
        <v>1</v>
      </c>
      <c r="S88" s="163">
        <v>1</v>
      </c>
      <c r="T88" s="114"/>
      <c r="U88" s="114"/>
    </row>
    <row r="89" spans="5:23" x14ac:dyDescent="0.25">
      <c r="F89" t="s">
        <v>834</v>
      </c>
      <c r="G89" s="113" t="s">
        <v>176</v>
      </c>
      <c r="J89" s="163">
        <v>1</v>
      </c>
      <c r="K89" s="163">
        <v>1</v>
      </c>
      <c r="L89" s="163">
        <v>1</v>
      </c>
      <c r="M89" s="163">
        <v>1</v>
      </c>
      <c r="N89" s="163">
        <v>1</v>
      </c>
      <c r="O89" s="163">
        <v>1</v>
      </c>
      <c r="P89" s="163">
        <v>1</v>
      </c>
      <c r="Q89" s="163">
        <v>1</v>
      </c>
      <c r="R89" s="163">
        <v>1</v>
      </c>
      <c r="S89" s="163">
        <v>0</v>
      </c>
      <c r="T89" s="114"/>
      <c r="U89" s="114"/>
    </row>
    <row r="90" spans="5:23" x14ac:dyDescent="0.25">
      <c r="F90" t="s">
        <v>835</v>
      </c>
      <c r="G90" s="113" t="s">
        <v>176</v>
      </c>
      <c r="J90" s="163">
        <v>1</v>
      </c>
      <c r="K90" s="163">
        <v>1</v>
      </c>
      <c r="L90" s="163">
        <v>1</v>
      </c>
      <c r="M90" s="163">
        <v>1</v>
      </c>
      <c r="N90" s="163">
        <v>1</v>
      </c>
      <c r="O90" s="163">
        <v>1</v>
      </c>
      <c r="P90" s="163">
        <v>1</v>
      </c>
      <c r="Q90" s="163">
        <v>1</v>
      </c>
      <c r="R90" s="163">
        <v>0</v>
      </c>
      <c r="S90" s="163">
        <v>0</v>
      </c>
      <c r="T90" s="114"/>
      <c r="U90" s="114"/>
    </row>
    <row r="91" spans="5:23" x14ac:dyDescent="0.25">
      <c r="F91" t="s">
        <v>836</v>
      </c>
      <c r="G91" s="113" t="s">
        <v>176</v>
      </c>
      <c r="J91" s="163">
        <v>1</v>
      </c>
      <c r="K91" s="163">
        <v>1</v>
      </c>
      <c r="L91" s="163">
        <v>1</v>
      </c>
      <c r="M91" s="163">
        <v>1</v>
      </c>
      <c r="N91" s="163">
        <v>1</v>
      </c>
      <c r="O91" s="163">
        <v>1</v>
      </c>
      <c r="P91" s="163">
        <v>1</v>
      </c>
      <c r="Q91" s="163">
        <v>1</v>
      </c>
      <c r="R91" s="163">
        <v>1</v>
      </c>
      <c r="S91" s="163">
        <v>1</v>
      </c>
      <c r="T91" s="114"/>
      <c r="U91" s="114"/>
    </row>
    <row r="92" spans="5:23" x14ac:dyDescent="0.25">
      <c r="F92" t="s">
        <v>828</v>
      </c>
      <c r="G92" s="113" t="s">
        <v>176</v>
      </c>
      <c r="J92" s="163">
        <v>-1</v>
      </c>
      <c r="K92" s="163">
        <v>-1</v>
      </c>
      <c r="L92" s="163">
        <v>-1</v>
      </c>
      <c r="M92" s="163">
        <v>-1</v>
      </c>
      <c r="N92" s="163">
        <v>-1</v>
      </c>
      <c r="O92" s="163">
        <v>-1</v>
      </c>
      <c r="P92" s="163">
        <v>-1</v>
      </c>
      <c r="Q92" s="163">
        <v>-1</v>
      </c>
      <c r="R92" s="163">
        <v>-1</v>
      </c>
      <c r="S92" s="163">
        <v>0</v>
      </c>
      <c r="T92" s="114"/>
      <c r="U92" s="114"/>
    </row>
    <row r="93" spans="5:23" x14ac:dyDescent="0.25">
      <c r="F93" t="s">
        <v>829</v>
      </c>
      <c r="G93" s="113" t="s">
        <v>176</v>
      </c>
      <c r="J93" s="163">
        <v>-1</v>
      </c>
      <c r="K93" s="163">
        <v>-1</v>
      </c>
      <c r="L93" s="163">
        <v>-1</v>
      </c>
      <c r="M93" s="163">
        <v>-1</v>
      </c>
      <c r="N93" s="163">
        <v>-1</v>
      </c>
      <c r="O93" s="163">
        <v>-1</v>
      </c>
      <c r="P93" s="163">
        <v>-1</v>
      </c>
      <c r="Q93" s="163">
        <v>-1</v>
      </c>
      <c r="R93" s="163">
        <v>0</v>
      </c>
      <c r="S93" s="163">
        <v>0</v>
      </c>
      <c r="T93" s="114"/>
      <c r="U93" s="114"/>
    </row>
    <row r="94" spans="5:23" x14ac:dyDescent="0.25">
      <c r="F94" t="s">
        <v>830</v>
      </c>
      <c r="G94" s="113" t="s">
        <v>176</v>
      </c>
      <c r="J94" s="163">
        <v>-1</v>
      </c>
      <c r="K94" s="163">
        <v>-1</v>
      </c>
      <c r="L94" s="163">
        <v>-1</v>
      </c>
      <c r="M94" s="163">
        <v>-1</v>
      </c>
      <c r="N94" s="163">
        <v>-1</v>
      </c>
      <c r="O94" s="163">
        <v>-1</v>
      </c>
      <c r="P94" s="163">
        <v>-1</v>
      </c>
      <c r="Q94" s="163">
        <v>-1</v>
      </c>
      <c r="R94" s="163">
        <v>-1</v>
      </c>
      <c r="S94" s="163">
        <v>0</v>
      </c>
      <c r="T94" s="114"/>
      <c r="U94" s="114"/>
    </row>
    <row r="95" spans="5:23" x14ac:dyDescent="0.25">
      <c r="F95" t="s">
        <v>839</v>
      </c>
      <c r="G95" s="113" t="s">
        <v>176</v>
      </c>
      <c r="J95" s="163">
        <v>-1</v>
      </c>
      <c r="K95" s="163">
        <v>-1</v>
      </c>
      <c r="L95" s="163">
        <v>-1</v>
      </c>
      <c r="M95" s="163">
        <v>-1</v>
      </c>
      <c r="N95" s="163">
        <v>-1</v>
      </c>
      <c r="O95" s="163">
        <v>-1</v>
      </c>
      <c r="P95" s="163">
        <v>-1</v>
      </c>
      <c r="Q95" s="163">
        <v>-1</v>
      </c>
      <c r="R95" s="163">
        <v>-1</v>
      </c>
      <c r="S95" s="163">
        <v>0</v>
      </c>
      <c r="T95" s="114"/>
      <c r="U95" s="114"/>
    </row>
    <row r="96" spans="5:23" x14ac:dyDescent="0.25">
      <c r="F96" t="s">
        <v>831</v>
      </c>
      <c r="G96" s="113" t="s">
        <v>176</v>
      </c>
      <c r="J96" s="163">
        <v>-1</v>
      </c>
      <c r="K96" s="163">
        <v>-1</v>
      </c>
      <c r="L96" s="163">
        <v>-1</v>
      </c>
      <c r="M96" s="163">
        <v>-1</v>
      </c>
      <c r="N96" s="163">
        <v>-1</v>
      </c>
      <c r="O96" s="163">
        <v>-1</v>
      </c>
      <c r="P96" s="163">
        <v>-1</v>
      </c>
      <c r="Q96" s="163">
        <v>-1</v>
      </c>
      <c r="R96" s="163">
        <v>0</v>
      </c>
      <c r="S96" s="163">
        <v>0</v>
      </c>
      <c r="T96" s="114"/>
      <c r="U96" s="114"/>
    </row>
    <row r="97" spans="5:23" x14ac:dyDescent="0.25">
      <c r="F97" t="s">
        <v>838</v>
      </c>
      <c r="G97" s="113" t="s">
        <v>176</v>
      </c>
      <c r="J97" s="163">
        <v>-1</v>
      </c>
      <c r="K97" s="163">
        <v>-1</v>
      </c>
      <c r="L97" s="163">
        <v>-1</v>
      </c>
      <c r="M97" s="163">
        <v>-1</v>
      </c>
      <c r="N97" s="163">
        <v>-1</v>
      </c>
      <c r="O97" s="163">
        <v>-1</v>
      </c>
      <c r="P97" s="163">
        <v>-1</v>
      </c>
      <c r="Q97" s="163">
        <v>-1</v>
      </c>
      <c r="R97" s="163">
        <v>0</v>
      </c>
      <c r="S97" s="163">
        <v>0</v>
      </c>
      <c r="T97" s="114"/>
      <c r="U97" s="114"/>
    </row>
    <row r="98" spans="5:23" x14ac:dyDescent="0.25">
      <c r="F98" t="s">
        <v>832</v>
      </c>
      <c r="G98" s="113" t="s">
        <v>176</v>
      </c>
      <c r="J98" s="163">
        <v>-1</v>
      </c>
      <c r="K98" s="163">
        <v>-1</v>
      </c>
      <c r="L98" s="163">
        <v>-1</v>
      </c>
      <c r="M98" s="163">
        <v>-1</v>
      </c>
      <c r="N98" s="163">
        <v>-1</v>
      </c>
      <c r="O98" s="163">
        <v>-1</v>
      </c>
      <c r="P98" s="163">
        <v>-1</v>
      </c>
      <c r="Q98" s="163">
        <v>0</v>
      </c>
      <c r="R98" s="163">
        <v>0</v>
      </c>
      <c r="S98" s="163">
        <v>0</v>
      </c>
      <c r="T98" s="114"/>
      <c r="U98" s="114"/>
    </row>
    <row r="99" spans="5:23" x14ac:dyDescent="0.25">
      <c r="F99" s="91" t="s">
        <v>837</v>
      </c>
      <c r="G99" s="115" t="s">
        <v>176</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402</v>
      </c>
      <c r="G101" s="46"/>
      <c r="I101" t="s">
        <v>154</v>
      </c>
      <c r="J101" s="101"/>
      <c r="K101" s="101"/>
      <c r="L101" s="101"/>
      <c r="M101" s="101"/>
      <c r="N101" s="101"/>
      <c r="O101" s="101"/>
      <c r="P101" s="101"/>
      <c r="Q101" s="101"/>
      <c r="R101" s="101"/>
      <c r="S101" s="101"/>
      <c r="T101" s="101"/>
      <c r="U101" s="101"/>
      <c r="W101" s="3" t="s">
        <v>401</v>
      </c>
    </row>
    <row r="102" spans="5:23" x14ac:dyDescent="0.25">
      <c r="E102" s="71" t="s">
        <v>202</v>
      </c>
      <c r="G102" s="46"/>
      <c r="J102" s="101"/>
      <c r="K102" s="101"/>
      <c r="L102" s="101"/>
      <c r="M102" s="101"/>
      <c r="N102" s="101"/>
      <c r="O102" s="101"/>
      <c r="P102" s="101"/>
      <c r="Q102" s="101"/>
      <c r="R102" s="101"/>
      <c r="S102" s="101"/>
      <c r="T102" s="101"/>
      <c r="U102" s="101"/>
    </row>
    <row r="103" spans="5:23" x14ac:dyDescent="0.25">
      <c r="E103" s="71" t="s">
        <v>400</v>
      </c>
      <c r="G103" s="46"/>
      <c r="J103" s="101"/>
      <c r="K103" s="101"/>
      <c r="L103" s="101"/>
      <c r="M103" s="101"/>
      <c r="N103" s="101"/>
      <c r="O103" s="101"/>
      <c r="P103" s="101"/>
      <c r="Q103" s="101"/>
      <c r="R103" s="101"/>
      <c r="S103" s="101"/>
      <c r="T103" s="101"/>
      <c r="U103" s="101"/>
    </row>
    <row r="104" spans="5:23" x14ac:dyDescent="0.25">
      <c r="F104" s="90" t="s">
        <v>1159</v>
      </c>
      <c r="G104" s="111" t="s">
        <v>176</v>
      </c>
      <c r="H104" s="90"/>
      <c r="I104" s="90"/>
      <c r="J104" s="169">
        <f t="shared" ref="J104:S104" si="21">IF(J$38 = "", J84, J84 * J$38)</f>
        <v>1</v>
      </c>
      <c r="K104" s="169">
        <f t="shared" si="21"/>
        <v>1</v>
      </c>
      <c r="L104" s="169">
        <f t="shared" si="21"/>
        <v>1</v>
      </c>
      <c r="M104" s="169">
        <f t="shared" si="21"/>
        <v>1</v>
      </c>
      <c r="N104" s="169">
        <f t="shared" si="21"/>
        <v>1</v>
      </c>
      <c r="O104" s="169">
        <f t="shared" si="21"/>
        <v>1</v>
      </c>
      <c r="P104" s="169">
        <f t="shared" si="21"/>
        <v>0</v>
      </c>
      <c r="Q104" s="169">
        <f t="shared" si="21"/>
        <v>1</v>
      </c>
      <c r="R104" s="169">
        <f t="shared" si="21"/>
        <v>1</v>
      </c>
      <c r="S104" s="169">
        <f t="shared" si="21"/>
        <v>1</v>
      </c>
      <c r="T104" s="112"/>
      <c r="U104" s="112"/>
    </row>
    <row r="105" spans="5:23" x14ac:dyDescent="0.25">
      <c r="F105" t="s">
        <v>826</v>
      </c>
      <c r="G105" s="113" t="s">
        <v>176</v>
      </c>
      <c r="J105" s="141">
        <f t="shared" ref="J105:S105" si="22">IF(J$38 = "", J85, J85 * J$38)</f>
        <v>1</v>
      </c>
      <c r="K105" s="141">
        <f t="shared" si="22"/>
        <v>1</v>
      </c>
      <c r="L105" s="141">
        <f t="shared" si="22"/>
        <v>1</v>
      </c>
      <c r="M105" s="141">
        <f t="shared" si="22"/>
        <v>1</v>
      </c>
      <c r="N105" s="141">
        <f t="shared" si="22"/>
        <v>1</v>
      </c>
      <c r="O105" s="141">
        <f t="shared" si="22"/>
        <v>1</v>
      </c>
      <c r="P105" s="141">
        <f t="shared" si="22"/>
        <v>0</v>
      </c>
      <c r="Q105" s="141">
        <f t="shared" si="22"/>
        <v>1</v>
      </c>
      <c r="R105" s="141">
        <f t="shared" si="22"/>
        <v>1</v>
      </c>
      <c r="S105" s="141">
        <f t="shared" si="22"/>
        <v>1</v>
      </c>
      <c r="T105" s="114"/>
      <c r="U105" s="114"/>
    </row>
    <row r="106" spans="5:23" x14ac:dyDescent="0.25">
      <c r="F106" t="s">
        <v>1160</v>
      </c>
      <c r="G106" s="113" t="s">
        <v>176</v>
      </c>
      <c r="J106" s="141">
        <f t="shared" ref="J106:S106" si="23">IF(J$38 = "", J86, J86 * J$38)</f>
        <v>1</v>
      </c>
      <c r="K106" s="141">
        <f t="shared" si="23"/>
        <v>1</v>
      </c>
      <c r="L106" s="141">
        <f t="shared" si="23"/>
        <v>1</v>
      </c>
      <c r="M106" s="141">
        <f t="shared" si="23"/>
        <v>1</v>
      </c>
      <c r="N106" s="141">
        <f t="shared" si="23"/>
        <v>1</v>
      </c>
      <c r="O106" s="141">
        <f t="shared" si="23"/>
        <v>1</v>
      </c>
      <c r="P106" s="141">
        <f t="shared" si="23"/>
        <v>0</v>
      </c>
      <c r="Q106" s="141">
        <f t="shared" si="23"/>
        <v>1</v>
      </c>
      <c r="R106" s="141">
        <f t="shared" si="23"/>
        <v>1</v>
      </c>
      <c r="S106" s="141">
        <f t="shared" si="23"/>
        <v>1</v>
      </c>
      <c r="T106" s="114"/>
      <c r="U106" s="114"/>
    </row>
    <row r="107" spans="5:23" x14ac:dyDescent="0.25">
      <c r="F107" t="s">
        <v>827</v>
      </c>
      <c r="G107" s="113" t="s">
        <v>176</v>
      </c>
      <c r="J107" s="141">
        <f t="shared" ref="J107:S107" si="24">IF(J$38 = "", J87, J87 * J$38)</f>
        <v>1</v>
      </c>
      <c r="K107" s="141">
        <f t="shared" si="24"/>
        <v>1</v>
      </c>
      <c r="L107" s="141">
        <f t="shared" si="24"/>
        <v>1</v>
      </c>
      <c r="M107" s="141">
        <f t="shared" si="24"/>
        <v>1</v>
      </c>
      <c r="N107" s="141">
        <f t="shared" si="24"/>
        <v>1</v>
      </c>
      <c r="O107" s="141">
        <f t="shared" si="24"/>
        <v>1</v>
      </c>
      <c r="P107" s="141">
        <f t="shared" si="24"/>
        <v>0</v>
      </c>
      <c r="Q107" s="141">
        <f t="shared" si="24"/>
        <v>1</v>
      </c>
      <c r="R107" s="141">
        <f t="shared" si="24"/>
        <v>1</v>
      </c>
      <c r="S107" s="141">
        <f t="shared" si="24"/>
        <v>1</v>
      </c>
      <c r="T107" s="114"/>
      <c r="U107" s="114"/>
    </row>
    <row r="108" spans="5:23" x14ac:dyDescent="0.25">
      <c r="F108" t="s">
        <v>833</v>
      </c>
      <c r="G108" s="113" t="s">
        <v>176</v>
      </c>
      <c r="J108" s="141">
        <f t="shared" ref="J108:S108" si="25">IF(J$38 = "", J88, J88 * J$38)</f>
        <v>1</v>
      </c>
      <c r="K108" s="141">
        <f t="shared" si="25"/>
        <v>1</v>
      </c>
      <c r="L108" s="141">
        <f t="shared" si="25"/>
        <v>1</v>
      </c>
      <c r="M108" s="141">
        <f t="shared" si="25"/>
        <v>1</v>
      </c>
      <c r="N108" s="141">
        <f t="shared" si="25"/>
        <v>1</v>
      </c>
      <c r="O108" s="141">
        <f t="shared" si="25"/>
        <v>1</v>
      </c>
      <c r="P108" s="141">
        <f t="shared" si="25"/>
        <v>0</v>
      </c>
      <c r="Q108" s="141">
        <f t="shared" si="25"/>
        <v>1</v>
      </c>
      <c r="R108" s="141">
        <f t="shared" si="25"/>
        <v>1</v>
      </c>
      <c r="S108" s="141">
        <f t="shared" si="25"/>
        <v>1</v>
      </c>
      <c r="T108" s="114"/>
      <c r="U108" s="114"/>
    </row>
    <row r="109" spans="5:23" x14ac:dyDescent="0.25">
      <c r="F109" t="s">
        <v>834</v>
      </c>
      <c r="G109" s="113" t="s">
        <v>176</v>
      </c>
      <c r="J109" s="141">
        <f t="shared" ref="J109:S109" si="26">IF(J$38 = "", J89, J89 * J$38)</f>
        <v>1</v>
      </c>
      <c r="K109" s="141">
        <f t="shared" si="26"/>
        <v>1</v>
      </c>
      <c r="L109" s="141">
        <f t="shared" si="26"/>
        <v>1</v>
      </c>
      <c r="M109" s="141">
        <f t="shared" si="26"/>
        <v>1</v>
      </c>
      <c r="N109" s="141">
        <f t="shared" si="26"/>
        <v>1</v>
      </c>
      <c r="O109" s="141">
        <f t="shared" si="26"/>
        <v>1</v>
      </c>
      <c r="P109" s="141">
        <f t="shared" si="26"/>
        <v>0</v>
      </c>
      <c r="Q109" s="141">
        <f t="shared" si="26"/>
        <v>1</v>
      </c>
      <c r="R109" s="141">
        <f t="shared" si="26"/>
        <v>1</v>
      </c>
      <c r="S109" s="141">
        <f t="shared" si="26"/>
        <v>0</v>
      </c>
      <c r="T109" s="114"/>
      <c r="U109" s="114"/>
    </row>
    <row r="110" spans="5:23" x14ac:dyDescent="0.25">
      <c r="F110" t="s">
        <v>835</v>
      </c>
      <c r="G110" s="113" t="s">
        <v>176</v>
      </c>
      <c r="J110" s="141">
        <f t="shared" ref="J110:S110" si="27">IF(J$38 = "", J90, J90 * J$38)</f>
        <v>1</v>
      </c>
      <c r="K110" s="141">
        <f t="shared" si="27"/>
        <v>1</v>
      </c>
      <c r="L110" s="141">
        <f t="shared" si="27"/>
        <v>1</v>
      </c>
      <c r="M110" s="141">
        <f t="shared" si="27"/>
        <v>1</v>
      </c>
      <c r="N110" s="141">
        <f t="shared" si="27"/>
        <v>1</v>
      </c>
      <c r="O110" s="141">
        <f t="shared" si="27"/>
        <v>1</v>
      </c>
      <c r="P110" s="141">
        <f t="shared" si="27"/>
        <v>0</v>
      </c>
      <c r="Q110" s="141">
        <f t="shared" si="27"/>
        <v>1</v>
      </c>
      <c r="R110" s="141">
        <f t="shared" si="27"/>
        <v>0</v>
      </c>
      <c r="S110" s="141">
        <f t="shared" si="27"/>
        <v>0</v>
      </c>
      <c r="T110" s="114"/>
      <c r="U110" s="114"/>
    </row>
    <row r="111" spans="5:23" x14ac:dyDescent="0.25">
      <c r="F111" t="s">
        <v>836</v>
      </c>
      <c r="G111" s="113" t="s">
        <v>176</v>
      </c>
      <c r="J111" s="141">
        <f t="shared" ref="J111:S111" si="28">IF(J$38 = "", J91, J91 * J$38)</f>
        <v>1</v>
      </c>
      <c r="K111" s="141">
        <f t="shared" si="28"/>
        <v>1</v>
      </c>
      <c r="L111" s="141">
        <f t="shared" si="28"/>
        <v>1</v>
      </c>
      <c r="M111" s="141">
        <f t="shared" si="28"/>
        <v>1</v>
      </c>
      <c r="N111" s="141">
        <f t="shared" si="28"/>
        <v>1</v>
      </c>
      <c r="O111" s="141">
        <f t="shared" si="28"/>
        <v>1</v>
      </c>
      <c r="P111" s="141">
        <f t="shared" si="28"/>
        <v>0</v>
      </c>
      <c r="Q111" s="141">
        <f t="shared" si="28"/>
        <v>1</v>
      </c>
      <c r="R111" s="141">
        <f t="shared" si="28"/>
        <v>1</v>
      </c>
      <c r="S111" s="141">
        <f t="shared" si="28"/>
        <v>1</v>
      </c>
      <c r="T111" s="114"/>
      <c r="U111" s="114"/>
    </row>
    <row r="112" spans="5:23" x14ac:dyDescent="0.25">
      <c r="F112" t="s">
        <v>828</v>
      </c>
      <c r="G112" s="113" t="s">
        <v>176</v>
      </c>
      <c r="J112" s="141">
        <f t="shared" ref="J112:S112" si="29">IF(J$38 = "", J92, J92 * J$38)</f>
        <v>-1</v>
      </c>
      <c r="K112" s="141">
        <f t="shared" si="29"/>
        <v>-1</v>
      </c>
      <c r="L112" s="141">
        <f t="shared" si="29"/>
        <v>-1</v>
      </c>
      <c r="M112" s="141">
        <f t="shared" si="29"/>
        <v>-1</v>
      </c>
      <c r="N112" s="141">
        <f t="shared" si="29"/>
        <v>-1</v>
      </c>
      <c r="O112" s="141">
        <f t="shared" si="29"/>
        <v>-1</v>
      </c>
      <c r="P112" s="141">
        <f t="shared" si="29"/>
        <v>0</v>
      </c>
      <c r="Q112" s="141">
        <f t="shared" si="29"/>
        <v>-1</v>
      </c>
      <c r="R112" s="141">
        <f t="shared" si="29"/>
        <v>-1</v>
      </c>
      <c r="S112" s="141">
        <f t="shared" si="29"/>
        <v>0</v>
      </c>
      <c r="T112" s="114"/>
      <c r="U112" s="114"/>
    </row>
    <row r="113" spans="3:23" x14ac:dyDescent="0.25">
      <c r="F113" t="s">
        <v>829</v>
      </c>
      <c r="G113" s="113" t="s">
        <v>176</v>
      </c>
      <c r="J113" s="141">
        <f t="shared" ref="J113:S113" si="30">IF(J$38 = "", J93, J93 * J$38)</f>
        <v>-1</v>
      </c>
      <c r="K113" s="141">
        <f t="shared" si="30"/>
        <v>-1</v>
      </c>
      <c r="L113" s="141">
        <f t="shared" si="30"/>
        <v>-1</v>
      </c>
      <c r="M113" s="141">
        <f t="shared" si="30"/>
        <v>-1</v>
      </c>
      <c r="N113" s="141">
        <f t="shared" si="30"/>
        <v>-1</v>
      </c>
      <c r="O113" s="141">
        <f t="shared" si="30"/>
        <v>-1</v>
      </c>
      <c r="P113" s="141">
        <f t="shared" si="30"/>
        <v>0</v>
      </c>
      <c r="Q113" s="141">
        <f t="shared" si="30"/>
        <v>-1</v>
      </c>
      <c r="R113" s="141">
        <f t="shared" si="30"/>
        <v>0</v>
      </c>
      <c r="S113" s="141">
        <f t="shared" si="30"/>
        <v>0</v>
      </c>
      <c r="T113" s="114"/>
      <c r="U113" s="114"/>
    </row>
    <row r="114" spans="3:23" x14ac:dyDescent="0.25">
      <c r="F114" t="s">
        <v>830</v>
      </c>
      <c r="G114" s="113" t="s">
        <v>176</v>
      </c>
      <c r="J114" s="141">
        <f t="shared" ref="J114:S114" si="31">IF(J$38 = "", J94, J94 * J$38)</f>
        <v>-1</v>
      </c>
      <c r="K114" s="141">
        <f t="shared" si="31"/>
        <v>-1</v>
      </c>
      <c r="L114" s="141">
        <f t="shared" si="31"/>
        <v>-1</v>
      </c>
      <c r="M114" s="141">
        <f t="shared" si="31"/>
        <v>-1</v>
      </c>
      <c r="N114" s="141">
        <f t="shared" si="31"/>
        <v>-1</v>
      </c>
      <c r="O114" s="141">
        <f t="shared" si="31"/>
        <v>-1</v>
      </c>
      <c r="P114" s="141">
        <f t="shared" si="31"/>
        <v>0</v>
      </c>
      <c r="Q114" s="141">
        <f t="shared" si="31"/>
        <v>-1</v>
      </c>
      <c r="R114" s="141">
        <f t="shared" si="31"/>
        <v>-1</v>
      </c>
      <c r="S114" s="141">
        <f t="shared" si="31"/>
        <v>0</v>
      </c>
      <c r="T114" s="114"/>
      <c r="U114" s="114"/>
    </row>
    <row r="115" spans="3:23" x14ac:dyDescent="0.25">
      <c r="F115" t="s">
        <v>839</v>
      </c>
      <c r="G115" s="113" t="s">
        <v>176</v>
      </c>
      <c r="J115" s="141">
        <f t="shared" ref="J115:S115" si="32">IF(J$38 = "", J95, J95 * J$38)</f>
        <v>-1</v>
      </c>
      <c r="K115" s="141">
        <f t="shared" si="32"/>
        <v>-1</v>
      </c>
      <c r="L115" s="141">
        <f t="shared" si="32"/>
        <v>-1</v>
      </c>
      <c r="M115" s="141">
        <f t="shared" si="32"/>
        <v>-1</v>
      </c>
      <c r="N115" s="141">
        <f t="shared" si="32"/>
        <v>-1</v>
      </c>
      <c r="O115" s="141">
        <f t="shared" si="32"/>
        <v>-1</v>
      </c>
      <c r="P115" s="141">
        <f t="shared" si="32"/>
        <v>0</v>
      </c>
      <c r="Q115" s="141">
        <f t="shared" si="32"/>
        <v>-1</v>
      </c>
      <c r="R115" s="141">
        <f t="shared" si="32"/>
        <v>-1</v>
      </c>
      <c r="S115" s="141">
        <f t="shared" si="32"/>
        <v>0</v>
      </c>
      <c r="T115" s="114"/>
      <c r="U115" s="114"/>
    </row>
    <row r="116" spans="3:23" x14ac:dyDescent="0.25">
      <c r="F116" t="s">
        <v>831</v>
      </c>
      <c r="G116" s="113" t="s">
        <v>176</v>
      </c>
      <c r="J116" s="141">
        <f t="shared" ref="J116:S116" si="33">IF(J$38 = "", J96, J96 * J$38)</f>
        <v>-1</v>
      </c>
      <c r="K116" s="141">
        <f t="shared" si="33"/>
        <v>-1</v>
      </c>
      <c r="L116" s="141">
        <f t="shared" si="33"/>
        <v>-1</v>
      </c>
      <c r="M116" s="141">
        <f t="shared" si="33"/>
        <v>-1</v>
      </c>
      <c r="N116" s="141">
        <f t="shared" si="33"/>
        <v>-1</v>
      </c>
      <c r="O116" s="141">
        <f t="shared" si="33"/>
        <v>-1</v>
      </c>
      <c r="P116" s="141">
        <f t="shared" si="33"/>
        <v>0</v>
      </c>
      <c r="Q116" s="141">
        <f t="shared" si="33"/>
        <v>-1</v>
      </c>
      <c r="R116" s="141">
        <f t="shared" si="33"/>
        <v>0</v>
      </c>
      <c r="S116" s="141">
        <f t="shared" si="33"/>
        <v>0</v>
      </c>
      <c r="T116" s="114"/>
      <c r="U116" s="114"/>
    </row>
    <row r="117" spans="3:23" x14ac:dyDescent="0.25">
      <c r="F117" t="s">
        <v>838</v>
      </c>
      <c r="G117" s="113" t="s">
        <v>176</v>
      </c>
      <c r="J117" s="141">
        <f t="shared" ref="J117:S117" si="34">IF(J$38 = "", J97, J97 * J$38)</f>
        <v>-1</v>
      </c>
      <c r="K117" s="141">
        <f t="shared" si="34"/>
        <v>-1</v>
      </c>
      <c r="L117" s="141">
        <f t="shared" si="34"/>
        <v>-1</v>
      </c>
      <c r="M117" s="141">
        <f t="shared" si="34"/>
        <v>-1</v>
      </c>
      <c r="N117" s="141">
        <f t="shared" si="34"/>
        <v>-1</v>
      </c>
      <c r="O117" s="141">
        <f t="shared" si="34"/>
        <v>-1</v>
      </c>
      <c r="P117" s="141">
        <f t="shared" si="34"/>
        <v>0</v>
      </c>
      <c r="Q117" s="141">
        <f t="shared" si="34"/>
        <v>-1</v>
      </c>
      <c r="R117" s="141">
        <f t="shared" si="34"/>
        <v>0</v>
      </c>
      <c r="S117" s="141">
        <f t="shared" si="34"/>
        <v>0</v>
      </c>
      <c r="T117" s="114"/>
      <c r="U117" s="114"/>
    </row>
    <row r="118" spans="3:23" x14ac:dyDescent="0.25">
      <c r="F118" t="s">
        <v>832</v>
      </c>
      <c r="G118" s="113" t="s">
        <v>176</v>
      </c>
      <c r="J118" s="141">
        <f t="shared" ref="J118:S118" si="35">IF(J$38 = "", J98, J98 * J$38)</f>
        <v>-1</v>
      </c>
      <c r="K118" s="141">
        <f t="shared" si="35"/>
        <v>-1</v>
      </c>
      <c r="L118" s="141">
        <f t="shared" si="35"/>
        <v>-1</v>
      </c>
      <c r="M118" s="141">
        <f t="shared" si="35"/>
        <v>-1</v>
      </c>
      <c r="N118" s="141">
        <f t="shared" si="35"/>
        <v>-1</v>
      </c>
      <c r="O118" s="141">
        <f t="shared" si="35"/>
        <v>-1</v>
      </c>
      <c r="P118" s="141">
        <f t="shared" si="35"/>
        <v>0</v>
      </c>
      <c r="Q118" s="141">
        <f t="shared" si="35"/>
        <v>0</v>
      </c>
      <c r="R118" s="141">
        <f t="shared" si="35"/>
        <v>0</v>
      </c>
      <c r="S118" s="141">
        <f t="shared" si="35"/>
        <v>0</v>
      </c>
      <c r="T118" s="114"/>
      <c r="U118" s="114"/>
    </row>
    <row r="119" spans="3:23" x14ac:dyDescent="0.25">
      <c r="F119" s="91" t="s">
        <v>837</v>
      </c>
      <c r="G119" s="115" t="s">
        <v>176</v>
      </c>
      <c r="H119" s="91"/>
      <c r="I119" s="91"/>
      <c r="J119" s="143">
        <f t="shared" ref="J119:S119" si="36">IF(J$38 = "", J99, J99 * J$38)</f>
        <v>-1</v>
      </c>
      <c r="K119" s="143">
        <f t="shared" si="36"/>
        <v>-1</v>
      </c>
      <c r="L119" s="143">
        <f t="shared" si="36"/>
        <v>-1</v>
      </c>
      <c r="M119" s="143">
        <f t="shared" si="36"/>
        <v>-1</v>
      </c>
      <c r="N119" s="143">
        <f t="shared" si="36"/>
        <v>-1</v>
      </c>
      <c r="O119" s="143">
        <f t="shared" si="36"/>
        <v>-1</v>
      </c>
      <c r="P119" s="143">
        <f t="shared" si="36"/>
        <v>0</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403</v>
      </c>
      <c r="G123" s="46"/>
      <c r="J123" s="101"/>
      <c r="K123" s="101"/>
      <c r="L123" s="101"/>
      <c r="M123" s="101"/>
      <c r="N123" s="101"/>
      <c r="O123" s="101"/>
      <c r="P123" s="101"/>
      <c r="Q123" s="101"/>
      <c r="R123" s="101"/>
      <c r="S123" s="101"/>
      <c r="T123" s="101"/>
      <c r="U123" s="101"/>
      <c r="W123" s="3"/>
    </row>
    <row r="124" spans="3:23" x14ac:dyDescent="0.25">
      <c r="E124" s="71" t="s">
        <v>404</v>
      </c>
      <c r="G124" s="46"/>
      <c r="J124" s="101"/>
      <c r="K124" s="101"/>
      <c r="L124" s="101"/>
      <c r="M124" s="101"/>
      <c r="N124" s="101"/>
      <c r="O124" s="101"/>
      <c r="P124" s="101"/>
      <c r="Q124" s="101"/>
      <c r="R124" s="101"/>
      <c r="S124" s="101"/>
      <c r="T124" s="101"/>
      <c r="U124" s="101"/>
    </row>
    <row r="125" spans="3:23" x14ac:dyDescent="0.25">
      <c r="E125" s="71" t="s">
        <v>405</v>
      </c>
      <c r="G125" s="46"/>
      <c r="H125" s="171" t="s">
        <v>406</v>
      </c>
      <c r="J125" s="101"/>
      <c r="K125" s="101"/>
      <c r="L125" s="101"/>
      <c r="M125" s="101"/>
      <c r="N125" s="101"/>
      <c r="O125" s="101"/>
      <c r="P125" s="101"/>
      <c r="Q125" s="101"/>
      <c r="R125" s="101"/>
      <c r="S125" s="101"/>
      <c r="T125" s="101"/>
      <c r="U125" s="101"/>
    </row>
    <row r="126" spans="3:23" x14ac:dyDescent="0.25">
      <c r="F126" s="90" t="s">
        <v>1159</v>
      </c>
      <c r="G126" s="111" t="s">
        <v>283</v>
      </c>
      <c r="H126" s="169">
        <f t="shared" ref="H126:H141" si="37">MAX(J126:S126)</f>
        <v>1.109</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1.109</v>
      </c>
      <c r="T126" s="112"/>
      <c r="U126" s="112"/>
      <c r="W126" s="3"/>
    </row>
    <row r="127" spans="3:23" x14ac:dyDescent="0.25">
      <c r="F127" t="s">
        <v>826</v>
      </c>
      <c r="G127" s="113" t="s">
        <v>283</v>
      </c>
      <c r="H127" s="141">
        <f t="shared" si="37"/>
        <v>1.109</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1.109</v>
      </c>
      <c r="T127" s="114"/>
      <c r="U127" s="114"/>
      <c r="W127" s="3"/>
    </row>
    <row r="128" spans="3:23" x14ac:dyDescent="0.25">
      <c r="F128" t="s">
        <v>1160</v>
      </c>
      <c r="G128" s="113" t="s">
        <v>283</v>
      </c>
      <c r="H128" s="141">
        <f t="shared" si="37"/>
        <v>1.109</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1.109</v>
      </c>
      <c r="T128" s="114"/>
      <c r="U128" s="114"/>
      <c r="W128" s="3"/>
    </row>
    <row r="129" spans="5:23" x14ac:dyDescent="0.25">
      <c r="F129" t="s">
        <v>827</v>
      </c>
      <c r="G129" s="113" t="s">
        <v>283</v>
      </c>
      <c r="H129" s="141">
        <f t="shared" si="37"/>
        <v>1.109</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1.109</v>
      </c>
      <c r="T129" s="114"/>
      <c r="U129" s="114"/>
    </row>
    <row r="130" spans="5:23" x14ac:dyDescent="0.25">
      <c r="F130" t="s">
        <v>833</v>
      </c>
      <c r="G130" s="113" t="s">
        <v>283</v>
      </c>
      <c r="H130" s="141">
        <f t="shared" si="37"/>
        <v>1.109</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1.109</v>
      </c>
      <c r="T130" s="114"/>
      <c r="U130" s="114"/>
    </row>
    <row r="131" spans="5:23" x14ac:dyDescent="0.25">
      <c r="F131" t="s">
        <v>834</v>
      </c>
      <c r="G131" s="113" t="s">
        <v>283</v>
      </c>
      <c r="H131" s="141">
        <f t="shared" si="37"/>
        <v>1.044</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1.044</v>
      </c>
      <c r="S131" s="141">
        <f>OR(SUM(S70:$S70) = 1, SUM(S70:$S70) = -1) * S$29</f>
        <v>0</v>
      </c>
      <c r="T131" s="114"/>
      <c r="U131" s="114"/>
    </row>
    <row r="132" spans="5:23" x14ac:dyDescent="0.25">
      <c r="F132" t="s">
        <v>835</v>
      </c>
      <c r="G132" s="113" t="s">
        <v>283</v>
      </c>
      <c r="H132" s="141">
        <f t="shared" si="37"/>
        <v>1.0249999999999999</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1.0129999999999999</v>
      </c>
      <c r="Q132" s="141">
        <f>OR(SUM(Q71:$S71) = 1, SUM(Q71:$S71) = -1) * Q$29</f>
        <v>1.0249999999999999</v>
      </c>
      <c r="R132" s="141">
        <f>OR(SUM(R71:$S71) = 1, SUM(R71:$S71) = -1) * R$29</f>
        <v>0</v>
      </c>
      <c r="S132" s="141">
        <f>OR(SUM(S71:$S71) = 1, SUM(S71:$S71) = -1) * S$29</f>
        <v>0</v>
      </c>
      <c r="T132" s="114"/>
      <c r="U132" s="114"/>
    </row>
    <row r="133" spans="5:23" x14ac:dyDescent="0.25">
      <c r="F133" t="s">
        <v>836</v>
      </c>
      <c r="G133" s="113" t="s">
        <v>283</v>
      </c>
      <c r="H133" s="141">
        <f t="shared" si="37"/>
        <v>1.109</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1.109</v>
      </c>
      <c r="T133" s="114"/>
      <c r="U133" s="114"/>
    </row>
    <row r="134" spans="5:23" x14ac:dyDescent="0.25">
      <c r="F134" t="s">
        <v>828</v>
      </c>
      <c r="G134" s="113" t="s">
        <v>283</v>
      </c>
      <c r="H134" s="141">
        <f t="shared" si="37"/>
        <v>1.109</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1.109</v>
      </c>
      <c r="T134" s="114"/>
      <c r="U134" s="114"/>
    </row>
    <row r="135" spans="5:23" x14ac:dyDescent="0.25">
      <c r="F135" t="s">
        <v>829</v>
      </c>
      <c r="G135" s="113" t="s">
        <v>283</v>
      </c>
      <c r="H135" s="141">
        <f t="shared" si="37"/>
        <v>1.044</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1.044</v>
      </c>
      <c r="S135" s="141">
        <f>OR(SUM(S74:$S74) = 1, SUM(S74:$S74) = -1) * S$29</f>
        <v>0</v>
      </c>
      <c r="T135" s="114"/>
      <c r="U135" s="114"/>
    </row>
    <row r="136" spans="5:23" x14ac:dyDescent="0.25">
      <c r="F136" t="s">
        <v>830</v>
      </c>
      <c r="G136" s="113" t="s">
        <v>283</v>
      </c>
      <c r="H136" s="141">
        <f t="shared" si="37"/>
        <v>1.109</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1.109</v>
      </c>
      <c r="T136" s="114"/>
      <c r="U136" s="114"/>
    </row>
    <row r="137" spans="5:23" x14ac:dyDescent="0.25">
      <c r="F137" t="s">
        <v>839</v>
      </c>
      <c r="G137" s="113" t="s">
        <v>283</v>
      </c>
      <c r="H137" s="141">
        <f t="shared" si="37"/>
        <v>1.109</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1.109</v>
      </c>
      <c r="T137" s="114"/>
      <c r="U137" s="114"/>
    </row>
    <row r="138" spans="5:23" x14ac:dyDescent="0.25">
      <c r="F138" t="s">
        <v>831</v>
      </c>
      <c r="G138" s="113" t="s">
        <v>283</v>
      </c>
      <c r="H138" s="141">
        <f t="shared" si="37"/>
        <v>1.044</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1.044</v>
      </c>
      <c r="S138" s="141">
        <f>OR(SUM(S77:$S77) = 1, SUM(S77:$S77) = -1) * S$29</f>
        <v>0</v>
      </c>
      <c r="T138" s="114"/>
      <c r="U138" s="114"/>
    </row>
    <row r="139" spans="5:23" x14ac:dyDescent="0.25">
      <c r="F139" t="s">
        <v>838</v>
      </c>
      <c r="G139" s="113" t="s">
        <v>283</v>
      </c>
      <c r="H139" s="141">
        <f t="shared" si="37"/>
        <v>1.044</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1.044</v>
      </c>
      <c r="S139" s="141">
        <f>OR(SUM(S78:$S78) = 1, SUM(S78:$S78) = -1) * S$29</f>
        <v>0</v>
      </c>
      <c r="T139" s="114"/>
      <c r="U139" s="114"/>
    </row>
    <row r="140" spans="5:23" x14ac:dyDescent="0.25">
      <c r="F140" t="s">
        <v>832</v>
      </c>
      <c r="G140" s="113" t="s">
        <v>283</v>
      </c>
      <c r="H140" s="141">
        <f t="shared" si="37"/>
        <v>1.0249999999999999</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1.0129999999999999</v>
      </c>
      <c r="Q140" s="141">
        <f>OR(SUM(Q79:$S79) = 1, SUM(Q79:$S79) = -1) * Q$29</f>
        <v>1.0249999999999999</v>
      </c>
      <c r="R140" s="141">
        <f>OR(SUM(R79:$S79) = 1, SUM(R79:$S79) = -1) * R$29</f>
        <v>0</v>
      </c>
      <c r="S140" s="141">
        <f>OR(SUM(S79:$S79) = 1, SUM(S79:$S79) = -1) * S$29</f>
        <v>0</v>
      </c>
      <c r="T140" s="114"/>
      <c r="U140" s="114"/>
    </row>
    <row r="141" spans="5:23" x14ac:dyDescent="0.25">
      <c r="F141" s="91" t="s">
        <v>837</v>
      </c>
      <c r="G141" s="115" t="s">
        <v>283</v>
      </c>
      <c r="H141" s="143">
        <f t="shared" si="37"/>
        <v>1.0249999999999999</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1.0129999999999999</v>
      </c>
      <c r="Q141" s="143">
        <f>OR(SUM(Q80:$S80) = 1, SUM(Q80:$S80) = -1) * Q$29</f>
        <v>1.0249999999999999</v>
      </c>
      <c r="R141" s="143">
        <f>OR(SUM(R80:$S80) = 1, SUM(R80:$S80) = -1) * R$29</f>
        <v>0</v>
      </c>
      <c r="S141" s="143">
        <f>OR(SUM(S80:$S80) = 1, SUM(S80:$S80) = -1) * S$29</f>
        <v>0</v>
      </c>
      <c r="T141" s="116"/>
      <c r="U141" s="116"/>
    </row>
    <row r="142" spans="5:23" x14ac:dyDescent="0.25">
      <c r="G142" s="46"/>
    </row>
    <row r="143" spans="5:23" x14ac:dyDescent="0.25">
      <c r="E143" s="60" t="s">
        <v>407</v>
      </c>
      <c r="G143" s="46"/>
      <c r="I143" t="s">
        <v>154</v>
      </c>
      <c r="W143" s="3" t="s">
        <v>408</v>
      </c>
    </row>
    <row r="144" spans="5:23" x14ac:dyDescent="0.25">
      <c r="E144" s="71" t="s">
        <v>400</v>
      </c>
      <c r="G144" s="46"/>
    </row>
    <row r="145" spans="6:23" x14ac:dyDescent="0.25">
      <c r="F145" s="90" t="s">
        <v>1159</v>
      </c>
      <c r="G145" s="111" t="s">
        <v>283</v>
      </c>
      <c r="H145" s="172"/>
      <c r="I145" s="90"/>
      <c r="J145" s="145">
        <f t="shared" ref="J145:S145" si="38">$H126 * J104</f>
        <v>1.109</v>
      </c>
      <c r="K145" s="145">
        <f t="shared" si="38"/>
        <v>1.109</v>
      </c>
      <c r="L145" s="145">
        <f t="shared" si="38"/>
        <v>1.109</v>
      </c>
      <c r="M145" s="145">
        <f t="shared" si="38"/>
        <v>1.109</v>
      </c>
      <c r="N145" s="145">
        <f t="shared" si="38"/>
        <v>1.109</v>
      </c>
      <c r="O145" s="145">
        <f t="shared" si="38"/>
        <v>1.109</v>
      </c>
      <c r="P145" s="145">
        <f t="shared" si="38"/>
        <v>0</v>
      </c>
      <c r="Q145" s="145">
        <f t="shared" si="38"/>
        <v>1.109</v>
      </c>
      <c r="R145" s="145">
        <f t="shared" si="38"/>
        <v>1.109</v>
      </c>
      <c r="S145" s="145">
        <f t="shared" si="38"/>
        <v>1.109</v>
      </c>
      <c r="T145" s="112"/>
      <c r="U145" s="112"/>
    </row>
    <row r="146" spans="6:23" x14ac:dyDescent="0.25">
      <c r="F146" t="s">
        <v>826</v>
      </c>
      <c r="G146" s="113" t="s">
        <v>283</v>
      </c>
      <c r="H146" s="92"/>
      <c r="J146" s="164">
        <f t="shared" ref="J146:S146" si="39">$H127 * J105</f>
        <v>1.109</v>
      </c>
      <c r="K146" s="164">
        <f t="shared" si="39"/>
        <v>1.109</v>
      </c>
      <c r="L146" s="164">
        <f t="shared" si="39"/>
        <v>1.109</v>
      </c>
      <c r="M146" s="164">
        <f t="shared" si="39"/>
        <v>1.109</v>
      </c>
      <c r="N146" s="164">
        <f t="shared" si="39"/>
        <v>1.109</v>
      </c>
      <c r="O146" s="164">
        <f t="shared" si="39"/>
        <v>1.109</v>
      </c>
      <c r="P146" s="164">
        <f t="shared" si="39"/>
        <v>0</v>
      </c>
      <c r="Q146" s="164">
        <f t="shared" si="39"/>
        <v>1.109</v>
      </c>
      <c r="R146" s="164">
        <f t="shared" si="39"/>
        <v>1.109</v>
      </c>
      <c r="S146" s="164">
        <f t="shared" si="39"/>
        <v>1.109</v>
      </c>
      <c r="T146" s="114"/>
      <c r="U146" s="114"/>
      <c r="W146" s="3"/>
    </row>
    <row r="147" spans="6:23" x14ac:dyDescent="0.25">
      <c r="F147" t="s">
        <v>1160</v>
      </c>
      <c r="G147" s="113" t="s">
        <v>283</v>
      </c>
      <c r="H147" s="92"/>
      <c r="J147" s="164">
        <f t="shared" ref="J147:S147" si="40">$H128 * J106</f>
        <v>1.109</v>
      </c>
      <c r="K147" s="164">
        <f t="shared" si="40"/>
        <v>1.109</v>
      </c>
      <c r="L147" s="164">
        <f t="shared" si="40"/>
        <v>1.109</v>
      </c>
      <c r="M147" s="164">
        <f t="shared" si="40"/>
        <v>1.109</v>
      </c>
      <c r="N147" s="164">
        <f t="shared" si="40"/>
        <v>1.109</v>
      </c>
      <c r="O147" s="164">
        <f t="shared" si="40"/>
        <v>1.109</v>
      </c>
      <c r="P147" s="164">
        <f t="shared" si="40"/>
        <v>0</v>
      </c>
      <c r="Q147" s="164">
        <f t="shared" si="40"/>
        <v>1.109</v>
      </c>
      <c r="R147" s="164">
        <f t="shared" si="40"/>
        <v>1.109</v>
      </c>
      <c r="S147" s="164">
        <f t="shared" si="40"/>
        <v>1.109</v>
      </c>
      <c r="T147" s="114"/>
      <c r="U147" s="114"/>
      <c r="W147" s="3"/>
    </row>
    <row r="148" spans="6:23" x14ac:dyDescent="0.25">
      <c r="F148" t="s">
        <v>827</v>
      </c>
      <c r="G148" s="113" t="s">
        <v>283</v>
      </c>
      <c r="H148" s="92"/>
      <c r="J148" s="164">
        <f t="shared" ref="J148:S148" si="41">$H129 * J107</f>
        <v>1.109</v>
      </c>
      <c r="K148" s="164">
        <f t="shared" si="41"/>
        <v>1.109</v>
      </c>
      <c r="L148" s="164">
        <f t="shared" si="41"/>
        <v>1.109</v>
      </c>
      <c r="M148" s="164">
        <f t="shared" si="41"/>
        <v>1.109</v>
      </c>
      <c r="N148" s="164">
        <f t="shared" si="41"/>
        <v>1.109</v>
      </c>
      <c r="O148" s="164">
        <f t="shared" si="41"/>
        <v>1.109</v>
      </c>
      <c r="P148" s="164">
        <f t="shared" si="41"/>
        <v>0</v>
      </c>
      <c r="Q148" s="164">
        <f t="shared" si="41"/>
        <v>1.109</v>
      </c>
      <c r="R148" s="164">
        <f t="shared" si="41"/>
        <v>1.109</v>
      </c>
      <c r="S148" s="164">
        <f t="shared" si="41"/>
        <v>1.109</v>
      </c>
      <c r="T148" s="114"/>
      <c r="U148" s="114"/>
    </row>
    <row r="149" spans="6:23" x14ac:dyDescent="0.25">
      <c r="F149" t="s">
        <v>833</v>
      </c>
      <c r="G149" s="113" t="s">
        <v>283</v>
      </c>
      <c r="H149" s="92"/>
      <c r="J149" s="164">
        <f t="shared" ref="J149:S149" si="42">$H130 * J108</f>
        <v>1.109</v>
      </c>
      <c r="K149" s="164">
        <f t="shared" si="42"/>
        <v>1.109</v>
      </c>
      <c r="L149" s="164">
        <f t="shared" si="42"/>
        <v>1.109</v>
      </c>
      <c r="M149" s="164">
        <f t="shared" si="42"/>
        <v>1.109</v>
      </c>
      <c r="N149" s="164">
        <f t="shared" si="42"/>
        <v>1.109</v>
      </c>
      <c r="O149" s="164">
        <f t="shared" si="42"/>
        <v>1.109</v>
      </c>
      <c r="P149" s="164">
        <f t="shared" si="42"/>
        <v>0</v>
      </c>
      <c r="Q149" s="164">
        <f t="shared" si="42"/>
        <v>1.109</v>
      </c>
      <c r="R149" s="164">
        <f t="shared" si="42"/>
        <v>1.109</v>
      </c>
      <c r="S149" s="164">
        <f t="shared" si="42"/>
        <v>1.109</v>
      </c>
      <c r="T149" s="114"/>
      <c r="U149" s="114"/>
    </row>
    <row r="150" spans="6:23" x14ac:dyDescent="0.25">
      <c r="F150" t="s">
        <v>834</v>
      </c>
      <c r="G150" s="113" t="s">
        <v>283</v>
      </c>
      <c r="H150" s="92"/>
      <c r="J150" s="164">
        <f t="shared" ref="J150:S150" si="43">$H131 * J109</f>
        <v>1.044</v>
      </c>
      <c r="K150" s="164">
        <f t="shared" si="43"/>
        <v>1.044</v>
      </c>
      <c r="L150" s="164">
        <f t="shared" si="43"/>
        <v>1.044</v>
      </c>
      <c r="M150" s="164">
        <f t="shared" si="43"/>
        <v>1.044</v>
      </c>
      <c r="N150" s="164">
        <f t="shared" si="43"/>
        <v>1.044</v>
      </c>
      <c r="O150" s="164">
        <f t="shared" si="43"/>
        <v>1.044</v>
      </c>
      <c r="P150" s="164">
        <f t="shared" si="43"/>
        <v>0</v>
      </c>
      <c r="Q150" s="164">
        <f t="shared" si="43"/>
        <v>1.044</v>
      </c>
      <c r="R150" s="164">
        <f t="shared" si="43"/>
        <v>1.044</v>
      </c>
      <c r="S150" s="164">
        <f t="shared" si="43"/>
        <v>0</v>
      </c>
      <c r="T150" s="114"/>
      <c r="U150" s="114"/>
    </row>
    <row r="151" spans="6:23" x14ac:dyDescent="0.25">
      <c r="F151" t="s">
        <v>835</v>
      </c>
      <c r="G151" s="113" t="s">
        <v>283</v>
      </c>
      <c r="H151" s="92"/>
      <c r="J151" s="164">
        <f t="shared" ref="J151:S151" si="44">$H132 * J110</f>
        <v>1.0249999999999999</v>
      </c>
      <c r="K151" s="164">
        <f t="shared" si="44"/>
        <v>1.0249999999999999</v>
      </c>
      <c r="L151" s="164">
        <f t="shared" si="44"/>
        <v>1.0249999999999999</v>
      </c>
      <c r="M151" s="164">
        <f t="shared" si="44"/>
        <v>1.0249999999999999</v>
      </c>
      <c r="N151" s="164">
        <f t="shared" si="44"/>
        <v>1.0249999999999999</v>
      </c>
      <c r="O151" s="164">
        <f t="shared" si="44"/>
        <v>1.0249999999999999</v>
      </c>
      <c r="P151" s="164">
        <f t="shared" si="44"/>
        <v>0</v>
      </c>
      <c r="Q151" s="164">
        <f t="shared" si="44"/>
        <v>1.0249999999999999</v>
      </c>
      <c r="R151" s="164">
        <f t="shared" si="44"/>
        <v>0</v>
      </c>
      <c r="S151" s="164">
        <f t="shared" si="44"/>
        <v>0</v>
      </c>
      <c r="T151" s="114"/>
      <c r="U151" s="114"/>
    </row>
    <row r="152" spans="6:23" x14ac:dyDescent="0.25">
      <c r="F152" t="s">
        <v>836</v>
      </c>
      <c r="G152" s="113" t="s">
        <v>283</v>
      </c>
      <c r="H152" s="92"/>
      <c r="J152" s="164">
        <f t="shared" ref="J152:S152" si="45">$H133 * J111</f>
        <v>1.109</v>
      </c>
      <c r="K152" s="164">
        <f t="shared" si="45"/>
        <v>1.109</v>
      </c>
      <c r="L152" s="164">
        <f t="shared" si="45"/>
        <v>1.109</v>
      </c>
      <c r="M152" s="164">
        <f t="shared" si="45"/>
        <v>1.109</v>
      </c>
      <c r="N152" s="164">
        <f t="shared" si="45"/>
        <v>1.109</v>
      </c>
      <c r="O152" s="164">
        <f t="shared" si="45"/>
        <v>1.109</v>
      </c>
      <c r="P152" s="164">
        <f t="shared" si="45"/>
        <v>0</v>
      </c>
      <c r="Q152" s="164">
        <f t="shared" si="45"/>
        <v>1.109</v>
      </c>
      <c r="R152" s="164">
        <f t="shared" si="45"/>
        <v>1.109</v>
      </c>
      <c r="S152" s="164">
        <f t="shared" si="45"/>
        <v>1.109</v>
      </c>
      <c r="T152" s="114"/>
      <c r="U152" s="114"/>
    </row>
    <row r="153" spans="6:23" x14ac:dyDescent="0.25">
      <c r="F153" t="s">
        <v>828</v>
      </c>
      <c r="G153" s="113" t="s">
        <v>283</v>
      </c>
      <c r="H153" s="92"/>
      <c r="J153" s="164">
        <f t="shared" ref="J153:S153" si="46">$H134 * J112</f>
        <v>-1.109</v>
      </c>
      <c r="K153" s="164">
        <f t="shared" si="46"/>
        <v>-1.109</v>
      </c>
      <c r="L153" s="164">
        <f t="shared" si="46"/>
        <v>-1.109</v>
      </c>
      <c r="M153" s="164">
        <f t="shared" si="46"/>
        <v>-1.109</v>
      </c>
      <c r="N153" s="164">
        <f t="shared" si="46"/>
        <v>-1.109</v>
      </c>
      <c r="O153" s="164">
        <f t="shared" si="46"/>
        <v>-1.109</v>
      </c>
      <c r="P153" s="164">
        <f t="shared" si="46"/>
        <v>0</v>
      </c>
      <c r="Q153" s="164">
        <f t="shared" si="46"/>
        <v>-1.109</v>
      </c>
      <c r="R153" s="164">
        <f t="shared" si="46"/>
        <v>-1.109</v>
      </c>
      <c r="S153" s="164">
        <f t="shared" si="46"/>
        <v>0</v>
      </c>
      <c r="T153" s="114"/>
      <c r="U153" s="114"/>
    </row>
    <row r="154" spans="6:23" x14ac:dyDescent="0.25">
      <c r="F154" t="s">
        <v>829</v>
      </c>
      <c r="G154" s="113" t="s">
        <v>283</v>
      </c>
      <c r="H154" s="92"/>
      <c r="J154" s="164">
        <f t="shared" ref="J154:S154" si="47">$H135 * J113</f>
        <v>-1.044</v>
      </c>
      <c r="K154" s="164">
        <f t="shared" si="47"/>
        <v>-1.044</v>
      </c>
      <c r="L154" s="164">
        <f t="shared" si="47"/>
        <v>-1.044</v>
      </c>
      <c r="M154" s="164">
        <f t="shared" si="47"/>
        <v>-1.044</v>
      </c>
      <c r="N154" s="164">
        <f t="shared" si="47"/>
        <v>-1.044</v>
      </c>
      <c r="O154" s="164">
        <f t="shared" si="47"/>
        <v>-1.044</v>
      </c>
      <c r="P154" s="164">
        <f t="shared" si="47"/>
        <v>0</v>
      </c>
      <c r="Q154" s="164">
        <f t="shared" si="47"/>
        <v>-1.044</v>
      </c>
      <c r="R154" s="164">
        <f t="shared" si="47"/>
        <v>0</v>
      </c>
      <c r="S154" s="164">
        <f t="shared" si="47"/>
        <v>0</v>
      </c>
      <c r="T154" s="114"/>
      <c r="U154" s="114"/>
    </row>
    <row r="155" spans="6:23" x14ac:dyDescent="0.25">
      <c r="F155" t="s">
        <v>830</v>
      </c>
      <c r="G155" s="113" t="s">
        <v>283</v>
      </c>
      <c r="H155" s="92"/>
      <c r="J155" s="164">
        <f t="shared" ref="J155:S155" si="48">$H136 * J114</f>
        <v>-1.109</v>
      </c>
      <c r="K155" s="164">
        <f t="shared" si="48"/>
        <v>-1.109</v>
      </c>
      <c r="L155" s="164">
        <f t="shared" si="48"/>
        <v>-1.109</v>
      </c>
      <c r="M155" s="164">
        <f t="shared" si="48"/>
        <v>-1.109</v>
      </c>
      <c r="N155" s="164">
        <f t="shared" si="48"/>
        <v>-1.109</v>
      </c>
      <c r="O155" s="164">
        <f t="shared" si="48"/>
        <v>-1.109</v>
      </c>
      <c r="P155" s="164">
        <f t="shared" si="48"/>
        <v>0</v>
      </c>
      <c r="Q155" s="164">
        <f t="shared" si="48"/>
        <v>-1.109</v>
      </c>
      <c r="R155" s="164">
        <f t="shared" si="48"/>
        <v>-1.109</v>
      </c>
      <c r="S155" s="164">
        <f t="shared" si="48"/>
        <v>0</v>
      </c>
      <c r="T155" s="114"/>
      <c r="U155" s="114"/>
    </row>
    <row r="156" spans="6:23" x14ac:dyDescent="0.25">
      <c r="F156" t="s">
        <v>839</v>
      </c>
      <c r="G156" s="113" t="s">
        <v>283</v>
      </c>
      <c r="H156" s="92"/>
      <c r="J156" s="164">
        <f t="shared" ref="J156:S156" si="49">$H137 * J115</f>
        <v>-1.109</v>
      </c>
      <c r="K156" s="164">
        <f t="shared" si="49"/>
        <v>-1.109</v>
      </c>
      <c r="L156" s="164">
        <f t="shared" si="49"/>
        <v>-1.109</v>
      </c>
      <c r="M156" s="164">
        <f t="shared" si="49"/>
        <v>-1.109</v>
      </c>
      <c r="N156" s="164">
        <f t="shared" si="49"/>
        <v>-1.109</v>
      </c>
      <c r="O156" s="164">
        <f t="shared" si="49"/>
        <v>-1.109</v>
      </c>
      <c r="P156" s="164">
        <f t="shared" si="49"/>
        <v>0</v>
      </c>
      <c r="Q156" s="164">
        <f t="shared" si="49"/>
        <v>-1.109</v>
      </c>
      <c r="R156" s="164">
        <f t="shared" si="49"/>
        <v>-1.109</v>
      </c>
      <c r="S156" s="164">
        <f t="shared" si="49"/>
        <v>0</v>
      </c>
      <c r="T156" s="114"/>
      <c r="U156" s="114"/>
    </row>
    <row r="157" spans="6:23" x14ac:dyDescent="0.25">
      <c r="F157" t="s">
        <v>831</v>
      </c>
      <c r="G157" s="113" t="s">
        <v>283</v>
      </c>
      <c r="H157" s="92"/>
      <c r="J157" s="164">
        <f t="shared" ref="J157:S157" si="50">$H138 * J116</f>
        <v>-1.044</v>
      </c>
      <c r="K157" s="164">
        <f t="shared" si="50"/>
        <v>-1.044</v>
      </c>
      <c r="L157" s="164">
        <f t="shared" si="50"/>
        <v>-1.044</v>
      </c>
      <c r="M157" s="164">
        <f t="shared" si="50"/>
        <v>-1.044</v>
      </c>
      <c r="N157" s="164">
        <f t="shared" si="50"/>
        <v>-1.044</v>
      </c>
      <c r="O157" s="164">
        <f t="shared" si="50"/>
        <v>-1.044</v>
      </c>
      <c r="P157" s="164">
        <f t="shared" si="50"/>
        <v>0</v>
      </c>
      <c r="Q157" s="164">
        <f t="shared" si="50"/>
        <v>-1.044</v>
      </c>
      <c r="R157" s="164">
        <f t="shared" si="50"/>
        <v>0</v>
      </c>
      <c r="S157" s="164">
        <f t="shared" si="50"/>
        <v>0</v>
      </c>
      <c r="T157" s="114"/>
      <c r="U157" s="114"/>
    </row>
    <row r="158" spans="6:23" x14ac:dyDescent="0.25">
      <c r="F158" t="s">
        <v>838</v>
      </c>
      <c r="G158" s="113" t="s">
        <v>283</v>
      </c>
      <c r="H158" s="92"/>
      <c r="J158" s="164">
        <f t="shared" ref="J158:S158" si="51">$H139 * J117</f>
        <v>-1.044</v>
      </c>
      <c r="K158" s="164">
        <f t="shared" si="51"/>
        <v>-1.044</v>
      </c>
      <c r="L158" s="164">
        <f t="shared" si="51"/>
        <v>-1.044</v>
      </c>
      <c r="M158" s="164">
        <f t="shared" si="51"/>
        <v>-1.044</v>
      </c>
      <c r="N158" s="164">
        <f t="shared" si="51"/>
        <v>-1.044</v>
      </c>
      <c r="O158" s="164">
        <f t="shared" si="51"/>
        <v>-1.044</v>
      </c>
      <c r="P158" s="164">
        <f t="shared" si="51"/>
        <v>0</v>
      </c>
      <c r="Q158" s="164">
        <f t="shared" si="51"/>
        <v>-1.044</v>
      </c>
      <c r="R158" s="164">
        <f t="shared" si="51"/>
        <v>0</v>
      </c>
      <c r="S158" s="164">
        <f t="shared" si="51"/>
        <v>0</v>
      </c>
      <c r="T158" s="114"/>
      <c r="U158" s="114"/>
    </row>
    <row r="159" spans="6:23" x14ac:dyDescent="0.25">
      <c r="F159" t="s">
        <v>832</v>
      </c>
      <c r="G159" s="113" t="s">
        <v>283</v>
      </c>
      <c r="H159" s="92"/>
      <c r="J159" s="164">
        <f t="shared" ref="J159:S159" si="52">$H140 * J118</f>
        <v>-1.0249999999999999</v>
      </c>
      <c r="K159" s="164">
        <f t="shared" si="52"/>
        <v>-1.0249999999999999</v>
      </c>
      <c r="L159" s="164">
        <f t="shared" si="52"/>
        <v>-1.0249999999999999</v>
      </c>
      <c r="M159" s="164">
        <f t="shared" si="52"/>
        <v>-1.0249999999999999</v>
      </c>
      <c r="N159" s="164">
        <f t="shared" si="52"/>
        <v>-1.0249999999999999</v>
      </c>
      <c r="O159" s="164">
        <f t="shared" si="52"/>
        <v>-1.0249999999999999</v>
      </c>
      <c r="P159" s="164">
        <f t="shared" si="52"/>
        <v>0</v>
      </c>
      <c r="Q159" s="164">
        <f t="shared" si="52"/>
        <v>0</v>
      </c>
      <c r="R159" s="164">
        <f t="shared" si="52"/>
        <v>0</v>
      </c>
      <c r="S159" s="164">
        <f t="shared" si="52"/>
        <v>0</v>
      </c>
      <c r="T159" s="114"/>
      <c r="U159" s="114"/>
    </row>
    <row r="160" spans="6:23" x14ac:dyDescent="0.25">
      <c r="F160" s="91" t="s">
        <v>837</v>
      </c>
      <c r="G160" s="115" t="s">
        <v>283</v>
      </c>
      <c r="H160" s="173"/>
      <c r="I160" s="91"/>
      <c r="J160" s="174">
        <f t="shared" ref="J160:S160" si="53">$H141 * J119</f>
        <v>-1.0249999999999999</v>
      </c>
      <c r="K160" s="174">
        <f t="shared" si="53"/>
        <v>-1.0249999999999999</v>
      </c>
      <c r="L160" s="174">
        <f t="shared" si="53"/>
        <v>-1.0249999999999999</v>
      </c>
      <c r="M160" s="174">
        <f t="shared" si="53"/>
        <v>-1.0249999999999999</v>
      </c>
      <c r="N160" s="174">
        <f t="shared" si="53"/>
        <v>-1.0249999999999999</v>
      </c>
      <c r="O160" s="174">
        <f t="shared" si="53"/>
        <v>-1.0249999999999999</v>
      </c>
      <c r="P160" s="174">
        <f t="shared" si="53"/>
        <v>0</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403</v>
      </c>
      <c r="G162" s="46"/>
      <c r="I162" t="s">
        <v>154</v>
      </c>
      <c r="J162" s="101"/>
      <c r="K162" s="101"/>
      <c r="L162" s="101"/>
      <c r="M162" s="101"/>
      <c r="N162" s="101"/>
      <c r="O162" s="101"/>
      <c r="P162" s="101"/>
      <c r="Q162" s="101"/>
      <c r="R162" s="101"/>
      <c r="S162" s="101"/>
      <c r="T162" s="101"/>
      <c r="U162" s="101"/>
      <c r="W162" s="3" t="s">
        <v>408</v>
      </c>
    </row>
    <row r="163" spans="5:23" x14ac:dyDescent="0.25">
      <c r="E163" s="71" t="s">
        <v>400</v>
      </c>
      <c r="G163" s="46"/>
      <c r="J163" s="101"/>
      <c r="K163" s="101"/>
      <c r="L163" s="101"/>
      <c r="M163" s="101"/>
      <c r="N163" s="101"/>
      <c r="O163" s="101"/>
      <c r="P163" s="101"/>
      <c r="Q163" s="101"/>
      <c r="R163" s="101"/>
      <c r="S163" s="101"/>
      <c r="T163" s="101"/>
      <c r="U163" s="101"/>
    </row>
    <row r="164" spans="5:23" x14ac:dyDescent="0.25">
      <c r="F164" s="90" t="s">
        <v>1159</v>
      </c>
      <c r="G164" s="111" t="s">
        <v>283</v>
      </c>
      <c r="H164" s="172"/>
      <c r="I164" s="90"/>
      <c r="J164" s="112"/>
      <c r="K164" s="112"/>
      <c r="L164" s="112"/>
      <c r="M164" s="112"/>
      <c r="N164" s="112"/>
      <c r="O164" s="112"/>
      <c r="P164" s="112"/>
      <c r="Q164" s="112"/>
      <c r="R164" s="112"/>
      <c r="S164" s="112"/>
      <c r="T164" s="112"/>
      <c r="U164" s="112"/>
    </row>
    <row r="165" spans="5:23" x14ac:dyDescent="0.25">
      <c r="F165" t="s">
        <v>826</v>
      </c>
      <c r="G165" s="113" t="s">
        <v>283</v>
      </c>
      <c r="H165" s="92"/>
      <c r="J165" s="114"/>
      <c r="K165" s="114"/>
      <c r="L165" s="114"/>
      <c r="M165" s="114"/>
      <c r="N165" s="114"/>
      <c r="O165" s="114"/>
      <c r="P165" s="114"/>
      <c r="Q165" s="114"/>
      <c r="R165" s="114"/>
      <c r="S165" s="114"/>
      <c r="T165" s="114"/>
      <c r="U165" s="114"/>
      <c r="W165" s="3"/>
    </row>
    <row r="166" spans="5:23" x14ac:dyDescent="0.25">
      <c r="F166" t="s">
        <v>1160</v>
      </c>
      <c r="G166" s="113" t="s">
        <v>283</v>
      </c>
      <c r="H166" s="92"/>
      <c r="J166" s="114"/>
      <c r="K166" s="114"/>
      <c r="L166" s="114"/>
      <c r="M166" s="114"/>
      <c r="N166" s="114"/>
      <c r="O166" s="114"/>
      <c r="P166" s="114"/>
      <c r="Q166" s="114"/>
      <c r="R166" s="114"/>
      <c r="S166" s="114"/>
      <c r="T166" s="114"/>
      <c r="U166" s="114"/>
      <c r="W166" s="3"/>
    </row>
    <row r="167" spans="5:23" x14ac:dyDescent="0.25">
      <c r="F167" t="s">
        <v>827</v>
      </c>
      <c r="G167" s="113" t="s">
        <v>283</v>
      </c>
      <c r="H167" s="92"/>
      <c r="J167" s="114"/>
      <c r="K167" s="114"/>
      <c r="L167" s="114"/>
      <c r="M167" s="114"/>
      <c r="N167" s="114"/>
      <c r="O167" s="114"/>
      <c r="P167" s="114"/>
      <c r="Q167" s="114"/>
      <c r="R167" s="114"/>
      <c r="S167" s="114"/>
      <c r="T167" s="114"/>
      <c r="U167" s="114"/>
    </row>
    <row r="168" spans="5:23" x14ac:dyDescent="0.25">
      <c r="F168" t="s">
        <v>833</v>
      </c>
      <c r="G168" s="113" t="s">
        <v>283</v>
      </c>
      <c r="H168" s="92"/>
      <c r="J168" s="114"/>
      <c r="K168" s="114"/>
      <c r="L168" s="114"/>
      <c r="M168" s="114"/>
      <c r="N168" s="114"/>
      <c r="O168" s="114"/>
      <c r="P168" s="114"/>
      <c r="Q168" s="114"/>
      <c r="R168" s="114"/>
      <c r="S168" s="114"/>
      <c r="T168" s="114"/>
      <c r="U168" s="114"/>
    </row>
    <row r="169" spans="5:23" x14ac:dyDescent="0.25">
      <c r="F169" t="s">
        <v>834</v>
      </c>
      <c r="G169" s="113" t="s">
        <v>283</v>
      </c>
      <c r="H169" s="92"/>
      <c r="J169" s="114"/>
      <c r="K169" s="114"/>
      <c r="L169" s="114"/>
      <c r="M169" s="114"/>
      <c r="N169" s="114"/>
      <c r="O169" s="114"/>
      <c r="P169" s="114"/>
      <c r="Q169" s="114"/>
      <c r="R169" s="114"/>
      <c r="S169" s="114"/>
      <c r="T169" s="114"/>
      <c r="U169" s="114"/>
    </row>
    <row r="170" spans="5:23" x14ac:dyDescent="0.25">
      <c r="F170" t="s">
        <v>835</v>
      </c>
      <c r="G170" s="113" t="s">
        <v>283</v>
      </c>
      <c r="H170" s="92"/>
      <c r="J170" s="114"/>
      <c r="K170" s="114"/>
      <c r="L170" s="114"/>
      <c r="M170" s="114"/>
      <c r="N170" s="114"/>
      <c r="O170" s="114"/>
      <c r="P170" s="114"/>
      <c r="Q170" s="114"/>
      <c r="R170" s="114"/>
      <c r="S170" s="114"/>
      <c r="T170" s="114"/>
      <c r="U170" s="114"/>
    </row>
    <row r="171" spans="5:23" x14ac:dyDescent="0.25">
      <c r="F171" t="s">
        <v>836</v>
      </c>
      <c r="G171" s="113" t="s">
        <v>283</v>
      </c>
      <c r="H171" s="92"/>
      <c r="J171" s="114"/>
      <c r="K171" s="114"/>
      <c r="L171" s="114"/>
      <c r="M171" s="114"/>
      <c r="N171" s="114"/>
      <c r="O171" s="114"/>
      <c r="P171" s="114"/>
      <c r="Q171" s="114"/>
      <c r="R171" s="114"/>
      <c r="S171" s="114"/>
      <c r="T171" s="114"/>
      <c r="U171" s="114"/>
    </row>
    <row r="172" spans="5:23" x14ac:dyDescent="0.25">
      <c r="F172" t="s">
        <v>828</v>
      </c>
      <c r="G172" s="113" t="s">
        <v>283</v>
      </c>
      <c r="H172" s="92"/>
      <c r="J172" s="164">
        <f t="shared" ref="J172:S172" si="54">$H134 * J73</f>
        <v>-1.109</v>
      </c>
      <c r="K172" s="164">
        <f t="shared" si="54"/>
        <v>-1.109</v>
      </c>
      <c r="L172" s="164">
        <f t="shared" si="54"/>
        <v>-1.109</v>
      </c>
      <c r="M172" s="164">
        <f t="shared" si="54"/>
        <v>-1.109</v>
      </c>
      <c r="N172" s="164">
        <f t="shared" si="54"/>
        <v>-1.109</v>
      </c>
      <c r="O172" s="164">
        <f t="shared" si="54"/>
        <v>-1.109</v>
      </c>
      <c r="P172" s="164">
        <f t="shared" si="54"/>
        <v>0</v>
      </c>
      <c r="Q172" s="164">
        <f t="shared" si="54"/>
        <v>-1.109</v>
      </c>
      <c r="R172" s="164">
        <f t="shared" si="54"/>
        <v>-1.109</v>
      </c>
      <c r="S172" s="164">
        <f t="shared" si="54"/>
        <v>-1.109</v>
      </c>
      <c r="T172" s="114"/>
      <c r="U172" s="114"/>
    </row>
    <row r="173" spans="5:23" x14ac:dyDescent="0.25">
      <c r="F173" t="s">
        <v>829</v>
      </c>
      <c r="G173" s="113" t="s">
        <v>283</v>
      </c>
      <c r="H173" s="92"/>
      <c r="J173" s="164">
        <f t="shared" ref="J173:S173" si="55">$H135 * J74</f>
        <v>-1.044</v>
      </c>
      <c r="K173" s="164">
        <f t="shared" si="55"/>
        <v>-1.044</v>
      </c>
      <c r="L173" s="164">
        <f t="shared" si="55"/>
        <v>-1.044</v>
      </c>
      <c r="M173" s="164">
        <f t="shared" si="55"/>
        <v>-1.044</v>
      </c>
      <c r="N173" s="164">
        <f t="shared" si="55"/>
        <v>-1.044</v>
      </c>
      <c r="O173" s="164">
        <f t="shared" si="55"/>
        <v>-1.044</v>
      </c>
      <c r="P173" s="164">
        <f t="shared" si="55"/>
        <v>0</v>
      </c>
      <c r="Q173" s="164">
        <f t="shared" si="55"/>
        <v>-1.044</v>
      </c>
      <c r="R173" s="164">
        <f t="shared" si="55"/>
        <v>-1.044</v>
      </c>
      <c r="S173" s="164">
        <f t="shared" si="55"/>
        <v>0</v>
      </c>
      <c r="T173" s="114"/>
      <c r="U173" s="114"/>
    </row>
    <row r="174" spans="5:23" x14ac:dyDescent="0.25">
      <c r="F174" t="s">
        <v>830</v>
      </c>
      <c r="G174" s="113" t="s">
        <v>283</v>
      </c>
      <c r="H174" s="92"/>
      <c r="J174" s="164">
        <f t="shared" ref="J174:S174" si="56">$H136 * J75</f>
        <v>-1.109</v>
      </c>
      <c r="K174" s="164">
        <f t="shared" si="56"/>
        <v>-1.109</v>
      </c>
      <c r="L174" s="164">
        <f t="shared" si="56"/>
        <v>-1.109</v>
      </c>
      <c r="M174" s="164">
        <f t="shared" si="56"/>
        <v>-1.109</v>
      </c>
      <c r="N174" s="164">
        <f t="shared" si="56"/>
        <v>-1.109</v>
      </c>
      <c r="O174" s="164">
        <f t="shared" si="56"/>
        <v>-1.109</v>
      </c>
      <c r="P174" s="164">
        <f t="shared" si="56"/>
        <v>0</v>
      </c>
      <c r="Q174" s="164">
        <f t="shared" si="56"/>
        <v>-1.109</v>
      </c>
      <c r="R174" s="164">
        <f t="shared" si="56"/>
        <v>-1.109</v>
      </c>
      <c r="S174" s="164">
        <f t="shared" si="56"/>
        <v>-1.109</v>
      </c>
      <c r="T174" s="114"/>
      <c r="U174" s="114"/>
    </row>
    <row r="175" spans="5:23" x14ac:dyDescent="0.25">
      <c r="F175" t="s">
        <v>839</v>
      </c>
      <c r="G175" s="113" t="s">
        <v>283</v>
      </c>
      <c r="H175" s="92"/>
      <c r="J175" s="164">
        <f t="shared" ref="J175:S175" si="57">$H137 * J76</f>
        <v>-1.109</v>
      </c>
      <c r="K175" s="164">
        <f t="shared" si="57"/>
        <v>-1.109</v>
      </c>
      <c r="L175" s="164">
        <f t="shared" si="57"/>
        <v>-1.109</v>
      </c>
      <c r="M175" s="164">
        <f t="shared" si="57"/>
        <v>-1.109</v>
      </c>
      <c r="N175" s="164">
        <f t="shared" si="57"/>
        <v>-1.109</v>
      </c>
      <c r="O175" s="164">
        <f t="shared" si="57"/>
        <v>-1.109</v>
      </c>
      <c r="P175" s="164">
        <f t="shared" si="57"/>
        <v>0</v>
      </c>
      <c r="Q175" s="164">
        <f t="shared" si="57"/>
        <v>-1.109</v>
      </c>
      <c r="R175" s="164">
        <f t="shared" si="57"/>
        <v>-1.109</v>
      </c>
      <c r="S175" s="164">
        <f t="shared" si="57"/>
        <v>-1.109</v>
      </c>
      <c r="T175" s="114"/>
      <c r="U175" s="114"/>
    </row>
    <row r="176" spans="5:23" x14ac:dyDescent="0.25">
      <c r="F176" t="s">
        <v>831</v>
      </c>
      <c r="G176" s="113" t="s">
        <v>283</v>
      </c>
      <c r="H176" s="92"/>
      <c r="J176" s="164">
        <f t="shared" ref="J176:S176" si="58">$H138 * J77</f>
        <v>-1.044</v>
      </c>
      <c r="K176" s="164">
        <f t="shared" si="58"/>
        <v>-1.044</v>
      </c>
      <c r="L176" s="164">
        <f t="shared" si="58"/>
        <v>-1.044</v>
      </c>
      <c r="M176" s="164">
        <f t="shared" si="58"/>
        <v>-1.044</v>
      </c>
      <c r="N176" s="164">
        <f t="shared" si="58"/>
        <v>-1.044</v>
      </c>
      <c r="O176" s="164">
        <f t="shared" si="58"/>
        <v>-1.044</v>
      </c>
      <c r="P176" s="164">
        <f t="shared" si="58"/>
        <v>0</v>
      </c>
      <c r="Q176" s="164">
        <f t="shared" si="58"/>
        <v>-1.044</v>
      </c>
      <c r="R176" s="164">
        <f t="shared" si="58"/>
        <v>-1.044</v>
      </c>
      <c r="S176" s="164">
        <f t="shared" si="58"/>
        <v>0</v>
      </c>
      <c r="T176" s="114"/>
      <c r="U176" s="114"/>
    </row>
    <row r="177" spans="2:23" x14ac:dyDescent="0.25">
      <c r="F177" t="s">
        <v>838</v>
      </c>
      <c r="G177" s="113" t="s">
        <v>283</v>
      </c>
      <c r="H177" s="92"/>
      <c r="J177" s="164">
        <f t="shared" ref="J177:S177" si="59">$H139 * J78</f>
        <v>-1.044</v>
      </c>
      <c r="K177" s="164">
        <f t="shared" si="59"/>
        <v>-1.044</v>
      </c>
      <c r="L177" s="164">
        <f t="shared" si="59"/>
        <v>-1.044</v>
      </c>
      <c r="M177" s="164">
        <f t="shared" si="59"/>
        <v>-1.044</v>
      </c>
      <c r="N177" s="164">
        <f t="shared" si="59"/>
        <v>-1.044</v>
      </c>
      <c r="O177" s="164">
        <f t="shared" si="59"/>
        <v>-1.044</v>
      </c>
      <c r="P177" s="164">
        <f t="shared" si="59"/>
        <v>0</v>
      </c>
      <c r="Q177" s="164">
        <f t="shared" si="59"/>
        <v>-1.044</v>
      </c>
      <c r="R177" s="164">
        <f t="shared" si="59"/>
        <v>-1.044</v>
      </c>
      <c r="S177" s="164">
        <f t="shared" si="59"/>
        <v>0</v>
      </c>
      <c r="T177" s="114"/>
      <c r="U177" s="114"/>
    </row>
    <row r="178" spans="2:23" x14ac:dyDescent="0.25">
      <c r="F178" t="s">
        <v>832</v>
      </c>
      <c r="G178" s="113" t="s">
        <v>283</v>
      </c>
      <c r="H178" s="92"/>
      <c r="J178" s="164">
        <f t="shared" ref="J178:S178" si="60">$H140 * J79</f>
        <v>-1.0249999999999999</v>
      </c>
      <c r="K178" s="164">
        <f t="shared" si="60"/>
        <v>-1.0249999999999999</v>
      </c>
      <c r="L178" s="164">
        <f t="shared" si="60"/>
        <v>-1.0249999999999999</v>
      </c>
      <c r="M178" s="164">
        <f t="shared" si="60"/>
        <v>-1.0249999999999999</v>
      </c>
      <c r="N178" s="164">
        <f t="shared" si="60"/>
        <v>-1.0249999999999999</v>
      </c>
      <c r="O178" s="164">
        <f t="shared" si="60"/>
        <v>-1.0249999999999999</v>
      </c>
      <c r="P178" s="164">
        <f t="shared" si="60"/>
        <v>0</v>
      </c>
      <c r="Q178" s="164">
        <f t="shared" si="60"/>
        <v>-1.0249999999999999</v>
      </c>
      <c r="R178" s="164">
        <f t="shared" si="60"/>
        <v>0</v>
      </c>
      <c r="S178" s="164">
        <f t="shared" si="60"/>
        <v>0</v>
      </c>
      <c r="T178" s="114"/>
      <c r="U178" s="114"/>
    </row>
    <row r="179" spans="2:23" x14ac:dyDescent="0.25">
      <c r="F179" s="91" t="s">
        <v>837</v>
      </c>
      <c r="G179" s="115" t="s">
        <v>283</v>
      </c>
      <c r="H179" s="173"/>
      <c r="I179" s="91"/>
      <c r="J179" s="174">
        <f t="shared" ref="J179:S179" si="61">$H141 * J80</f>
        <v>-1.0249999999999999</v>
      </c>
      <c r="K179" s="174">
        <f t="shared" si="61"/>
        <v>-1.0249999999999999</v>
      </c>
      <c r="L179" s="174">
        <f t="shared" si="61"/>
        <v>-1.0249999999999999</v>
      </c>
      <c r="M179" s="174">
        <f t="shared" si="61"/>
        <v>-1.0249999999999999</v>
      </c>
      <c r="N179" s="174">
        <f t="shared" si="61"/>
        <v>-1.0249999999999999</v>
      </c>
      <c r="O179" s="174">
        <f t="shared" si="61"/>
        <v>-1.0249999999999999</v>
      </c>
      <c r="P179" s="174">
        <f t="shared" si="61"/>
        <v>0</v>
      </c>
      <c r="Q179" s="174">
        <f t="shared" si="61"/>
        <v>-1.0249999999999999</v>
      </c>
      <c r="R179" s="174">
        <f t="shared" si="61"/>
        <v>0</v>
      </c>
      <c r="S179" s="174">
        <f t="shared" si="61"/>
        <v>0</v>
      </c>
      <c r="T179" s="116"/>
      <c r="U179" s="116"/>
    </row>
    <row r="180" spans="2:23" x14ac:dyDescent="0.25">
      <c r="G180" s="46"/>
    </row>
    <row r="181" spans="2:23" x14ac:dyDescent="0.25">
      <c r="B181" s="70" t="s">
        <v>231</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232</v>
      </c>
      <c r="G183" s="6" t="s">
        <v>55</v>
      </c>
      <c r="H183" s="108">
        <f t="array" ref="H183">SUM(IF(ISERROR(H19:W181), 1))</f>
        <v>0</v>
      </c>
    </row>
    <row r="185" spans="2:23" x14ac:dyDescent="0.25">
      <c r="B185" s="70" t="s">
        <v>106</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Distribution - One</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W5" s="86" t="s">
        <v>145</v>
      </c>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409</v>
      </c>
    </row>
    <row r="10" spans="1:23" x14ac:dyDescent="0.25">
      <c r="C10" s="71" t="s">
        <v>1158</v>
      </c>
    </row>
    <row r="12" spans="1:23" x14ac:dyDescent="0.25">
      <c r="B12" s="70" t="s">
        <v>66</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410</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180</v>
      </c>
      <c r="H18" s="3"/>
      <c r="I18" s="3" t="s">
        <v>154</v>
      </c>
      <c r="J18" s="3"/>
      <c r="K18" s="3"/>
      <c r="L18" s="3"/>
      <c r="M18" s="3"/>
      <c r="N18" s="3"/>
      <c r="O18" s="3"/>
      <c r="P18" s="3"/>
      <c r="Q18" s="3"/>
      <c r="R18" s="3"/>
      <c r="S18" s="3"/>
      <c r="T18" s="3"/>
      <c r="U18" s="3"/>
      <c r="W18" s="3" t="s">
        <v>181</v>
      </c>
    </row>
    <row r="19" spans="5:23" x14ac:dyDescent="0.25">
      <c r="E19" s="71" t="s">
        <v>182</v>
      </c>
      <c r="H19" s="3"/>
      <c r="I19" s="3"/>
      <c r="J19" s="3"/>
      <c r="K19" s="3"/>
      <c r="L19" s="3"/>
      <c r="M19" s="3"/>
      <c r="N19" s="3"/>
      <c r="O19" s="3"/>
      <c r="P19" s="3"/>
      <c r="Q19" s="3"/>
      <c r="R19" s="3"/>
      <c r="S19" s="3"/>
      <c r="T19" s="3"/>
      <c r="U19" s="3"/>
      <c r="W19" s="3"/>
    </row>
    <row r="20" spans="5:23" x14ac:dyDescent="0.25">
      <c r="F20" s="177"/>
      <c r="G20" s="177"/>
      <c r="H20" s="178"/>
      <c r="I20" s="178"/>
      <c r="J20" s="179" t="s">
        <v>183</v>
      </c>
      <c r="K20" s="179" t="s">
        <v>184</v>
      </c>
      <c r="L20" s="179" t="s">
        <v>185</v>
      </c>
      <c r="M20" s="179" t="s">
        <v>186</v>
      </c>
      <c r="O20" s="3"/>
      <c r="P20" s="3"/>
      <c r="Q20" s="3"/>
      <c r="R20" s="3"/>
      <c r="S20" s="3"/>
      <c r="T20" s="3"/>
      <c r="U20" s="3"/>
    </row>
    <row r="21" spans="5:23" x14ac:dyDescent="0.25">
      <c r="F21" s="89" t="s">
        <v>1159</v>
      </c>
      <c r="G21" s="46" t="s">
        <v>176</v>
      </c>
      <c r="H21" s="3"/>
      <c r="I21" s="3"/>
      <c r="J21" s="180">
        <f t="array" ref="J21:M36">TRANSPOSE('Fixed inputs'!J53:Y56)</f>
        <v>0</v>
      </c>
      <c r="K21" s="180">
        <v>0</v>
      </c>
      <c r="L21" s="180">
        <v>0</v>
      </c>
      <c r="M21" s="180">
        <v>1</v>
      </c>
      <c r="S21" s="3"/>
      <c r="T21" s="3"/>
      <c r="U21" s="3"/>
      <c r="W21" s="3"/>
    </row>
    <row r="22" spans="5:23" x14ac:dyDescent="0.25">
      <c r="F22" s="89" t="s">
        <v>826</v>
      </c>
      <c r="G22" s="46" t="s">
        <v>176</v>
      </c>
      <c r="H22" s="3"/>
      <c r="I22" s="3"/>
      <c r="J22" s="180">
        <v>0</v>
      </c>
      <c r="K22" s="180">
        <v>0</v>
      </c>
      <c r="L22" s="180">
        <v>0</v>
      </c>
      <c r="M22" s="180">
        <v>1</v>
      </c>
      <c r="S22" s="3"/>
      <c r="T22" s="3"/>
      <c r="U22" s="3"/>
      <c r="W22" s="3"/>
    </row>
    <row r="23" spans="5:23" x14ac:dyDescent="0.25">
      <c r="F23" s="89" t="s">
        <v>1160</v>
      </c>
      <c r="G23" s="46" t="s">
        <v>176</v>
      </c>
      <c r="H23" s="3"/>
      <c r="I23" s="3"/>
      <c r="J23" s="180">
        <v>0</v>
      </c>
      <c r="K23" s="180">
        <v>0</v>
      </c>
      <c r="L23" s="180">
        <v>0</v>
      </c>
      <c r="M23" s="180">
        <v>1</v>
      </c>
      <c r="S23" s="3"/>
      <c r="T23" s="3"/>
      <c r="U23" s="3"/>
      <c r="W23" s="3"/>
    </row>
    <row r="24" spans="5:23" x14ac:dyDescent="0.25">
      <c r="F24" s="89" t="s">
        <v>827</v>
      </c>
      <c r="G24" s="46" t="s">
        <v>176</v>
      </c>
      <c r="H24" s="3"/>
      <c r="I24" s="3"/>
      <c r="J24" s="180">
        <v>0</v>
      </c>
      <c r="K24" s="180">
        <v>0</v>
      </c>
      <c r="L24" s="180">
        <v>0</v>
      </c>
      <c r="M24" s="180">
        <v>1</v>
      </c>
      <c r="S24" s="3"/>
      <c r="T24" s="3"/>
      <c r="U24" s="3"/>
      <c r="W24" s="3"/>
    </row>
    <row r="25" spans="5:23" x14ac:dyDescent="0.25">
      <c r="F25" s="89" t="s">
        <v>833</v>
      </c>
      <c r="G25" s="46" t="s">
        <v>176</v>
      </c>
      <c r="H25" s="3"/>
      <c r="I25" s="3"/>
      <c r="J25" s="180">
        <v>0</v>
      </c>
      <c r="K25" s="180">
        <v>0</v>
      </c>
      <c r="L25" s="180">
        <v>0</v>
      </c>
      <c r="M25" s="180">
        <v>1</v>
      </c>
      <c r="S25" s="3"/>
      <c r="T25" s="3"/>
      <c r="U25" s="3"/>
      <c r="W25" s="3"/>
    </row>
    <row r="26" spans="5:23" x14ac:dyDescent="0.25">
      <c r="F26" s="89" t="s">
        <v>834</v>
      </c>
      <c r="G26" s="46" t="s">
        <v>176</v>
      </c>
      <c r="H26" s="3"/>
      <c r="I26" s="3"/>
      <c r="J26" s="180">
        <v>0</v>
      </c>
      <c r="K26" s="180">
        <v>0</v>
      </c>
      <c r="L26" s="180">
        <v>1</v>
      </c>
      <c r="M26" s="180">
        <v>0</v>
      </c>
      <c r="S26" s="3"/>
      <c r="T26" s="3"/>
      <c r="U26" s="3"/>
      <c r="W26" s="3"/>
    </row>
    <row r="27" spans="5:23" x14ac:dyDescent="0.25">
      <c r="F27" s="89" t="s">
        <v>835</v>
      </c>
      <c r="G27" s="46" t="s">
        <v>176</v>
      </c>
      <c r="H27" s="3"/>
      <c r="I27" s="3"/>
      <c r="J27" s="180">
        <v>0</v>
      </c>
      <c r="K27" s="180">
        <v>1</v>
      </c>
      <c r="L27" s="180">
        <v>0</v>
      </c>
      <c r="M27" s="180">
        <v>0</v>
      </c>
      <c r="S27" s="3"/>
      <c r="T27" s="3"/>
      <c r="U27" s="3"/>
      <c r="W27" s="3"/>
    </row>
    <row r="28" spans="5:23" x14ac:dyDescent="0.25">
      <c r="F28" s="89" t="s">
        <v>836</v>
      </c>
      <c r="G28" s="46" t="s">
        <v>176</v>
      </c>
      <c r="H28" s="3"/>
      <c r="I28" s="3"/>
      <c r="J28" s="180">
        <v>0</v>
      </c>
      <c r="K28" s="180">
        <v>0</v>
      </c>
      <c r="L28" s="180">
        <v>0</v>
      </c>
      <c r="M28" s="180">
        <v>1</v>
      </c>
      <c r="S28" s="3"/>
      <c r="T28" s="3"/>
      <c r="U28" s="3"/>
      <c r="W28" s="3"/>
    </row>
    <row r="29" spans="5:23" x14ac:dyDescent="0.25">
      <c r="F29" s="89" t="s">
        <v>828</v>
      </c>
      <c r="G29" s="46" t="s">
        <v>176</v>
      </c>
      <c r="H29" s="3"/>
      <c r="I29" s="3"/>
      <c r="J29" s="180">
        <v>0</v>
      </c>
      <c r="K29" s="180">
        <v>0</v>
      </c>
      <c r="L29" s="180">
        <v>0</v>
      </c>
      <c r="M29" s="180">
        <v>1</v>
      </c>
      <c r="S29" s="3"/>
      <c r="T29" s="3"/>
      <c r="U29" s="3"/>
      <c r="W29" s="3"/>
    </row>
    <row r="30" spans="5:23" x14ac:dyDescent="0.25">
      <c r="F30" s="89" t="s">
        <v>829</v>
      </c>
      <c r="G30" s="46" t="s">
        <v>176</v>
      </c>
      <c r="H30" s="3"/>
      <c r="I30" s="3"/>
      <c r="J30" s="180">
        <v>0</v>
      </c>
      <c r="K30" s="180">
        <v>0</v>
      </c>
      <c r="L30" s="180">
        <v>1</v>
      </c>
      <c r="M30" s="180">
        <v>0</v>
      </c>
      <c r="S30" s="3"/>
      <c r="T30" s="3"/>
      <c r="U30" s="3"/>
      <c r="W30" s="3"/>
    </row>
    <row r="31" spans="5:23" x14ac:dyDescent="0.25">
      <c r="F31" s="89" t="s">
        <v>830</v>
      </c>
      <c r="G31" s="46" t="s">
        <v>176</v>
      </c>
      <c r="H31" s="3"/>
      <c r="I31" s="3"/>
      <c r="J31" s="180">
        <v>0</v>
      </c>
      <c r="K31" s="180">
        <v>0</v>
      </c>
      <c r="L31" s="180">
        <v>0</v>
      </c>
      <c r="M31" s="180">
        <v>1</v>
      </c>
      <c r="S31" s="3"/>
      <c r="T31" s="3"/>
      <c r="U31" s="3"/>
      <c r="W31" s="3"/>
    </row>
    <row r="32" spans="5:23" x14ac:dyDescent="0.25">
      <c r="F32" s="89" t="s">
        <v>839</v>
      </c>
      <c r="G32" s="46" t="s">
        <v>176</v>
      </c>
      <c r="H32" s="3"/>
      <c r="I32" s="3"/>
      <c r="J32" s="180">
        <v>0</v>
      </c>
      <c r="K32" s="180">
        <v>0</v>
      </c>
      <c r="L32" s="180">
        <v>0</v>
      </c>
      <c r="M32" s="180">
        <v>1</v>
      </c>
      <c r="S32" s="3"/>
      <c r="T32" s="3"/>
      <c r="U32" s="3"/>
      <c r="W32" s="3"/>
    </row>
    <row r="33" spans="3:23" x14ac:dyDescent="0.25">
      <c r="F33" s="89" t="s">
        <v>831</v>
      </c>
      <c r="G33" s="46" t="s">
        <v>176</v>
      </c>
      <c r="H33" s="3"/>
      <c r="I33" s="3"/>
      <c r="J33" s="180">
        <v>0</v>
      </c>
      <c r="K33" s="180">
        <v>0</v>
      </c>
      <c r="L33" s="180">
        <v>1</v>
      </c>
      <c r="M33" s="180">
        <v>0</v>
      </c>
      <c r="S33" s="3"/>
      <c r="T33" s="3"/>
      <c r="U33" s="3"/>
      <c r="W33" s="3"/>
    </row>
    <row r="34" spans="3:23" x14ac:dyDescent="0.25">
      <c r="F34" s="89" t="s">
        <v>838</v>
      </c>
      <c r="G34" s="46" t="s">
        <v>176</v>
      </c>
      <c r="H34" s="3"/>
      <c r="I34" s="3"/>
      <c r="J34" s="180">
        <v>0</v>
      </c>
      <c r="K34" s="180">
        <v>0</v>
      </c>
      <c r="L34" s="180">
        <v>1</v>
      </c>
      <c r="M34" s="180">
        <v>0</v>
      </c>
      <c r="S34" s="3"/>
      <c r="T34" s="3"/>
      <c r="U34" s="3"/>
      <c r="W34" s="3"/>
    </row>
    <row r="35" spans="3:23" x14ac:dyDescent="0.25">
      <c r="F35" s="89" t="s">
        <v>832</v>
      </c>
      <c r="G35" s="46" t="s">
        <v>176</v>
      </c>
      <c r="H35" s="3"/>
      <c r="I35" s="3"/>
      <c r="J35" s="180">
        <v>0</v>
      </c>
      <c r="K35" s="180">
        <v>1</v>
      </c>
      <c r="L35" s="180">
        <v>0</v>
      </c>
      <c r="M35" s="180">
        <v>0</v>
      </c>
      <c r="S35" s="3"/>
      <c r="T35" s="3"/>
      <c r="U35" s="3"/>
      <c r="W35" s="3"/>
    </row>
    <row r="36" spans="3:23" x14ac:dyDescent="0.25">
      <c r="F36" s="96" t="s">
        <v>837</v>
      </c>
      <c r="G36" s="139" t="s">
        <v>176</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411</v>
      </c>
      <c r="H40" s="3"/>
      <c r="I40" s="3" t="s">
        <v>154</v>
      </c>
      <c r="J40" s="3"/>
      <c r="K40" s="3"/>
      <c r="L40" s="3"/>
      <c r="M40" s="3"/>
      <c r="N40" s="3"/>
      <c r="O40" s="3"/>
      <c r="P40" s="3"/>
      <c r="Q40" s="3"/>
      <c r="R40" s="3"/>
      <c r="S40" s="3"/>
      <c r="T40" s="3"/>
      <c r="U40" s="3"/>
      <c r="W40" s="3" t="s">
        <v>412</v>
      </c>
    </row>
    <row r="41" spans="3:23" x14ac:dyDescent="0.25">
      <c r="E41" s="71" t="s">
        <v>413</v>
      </c>
      <c r="H41" s="3"/>
      <c r="I41" s="3"/>
      <c r="J41" s="3"/>
      <c r="K41" s="3"/>
      <c r="L41" s="3"/>
      <c r="M41" s="3"/>
      <c r="N41" s="3"/>
      <c r="O41" s="3"/>
      <c r="P41" s="3"/>
      <c r="Q41" s="3"/>
      <c r="R41" s="3"/>
      <c r="S41" s="3"/>
      <c r="T41" s="3"/>
      <c r="U41" s="3"/>
      <c r="W41" s="3"/>
    </row>
    <row r="42" spans="3:23" x14ac:dyDescent="0.25">
      <c r="E42" s="60"/>
      <c r="F42" s="182"/>
      <c r="G42" s="182"/>
      <c r="H42" s="182"/>
      <c r="I42" s="182"/>
      <c r="J42" s="182" t="s">
        <v>189</v>
      </c>
      <c r="K42" s="183" t="s">
        <v>191</v>
      </c>
      <c r="L42" s="183" t="s">
        <v>192</v>
      </c>
      <c r="M42" s="183" t="s">
        <v>193</v>
      </c>
      <c r="N42" s="183" t="s">
        <v>194</v>
      </c>
      <c r="O42" s="183" t="s">
        <v>195</v>
      </c>
      <c r="P42" s="183" t="s">
        <v>196</v>
      </c>
      <c r="Q42" s="183" t="s">
        <v>197</v>
      </c>
      <c r="R42" s="183" t="s">
        <v>198</v>
      </c>
      <c r="S42" s="183" t="s">
        <v>199</v>
      </c>
      <c r="T42" s="183" t="s">
        <v>375</v>
      </c>
      <c r="U42" s="183" t="s">
        <v>376</v>
      </c>
    </row>
    <row r="43" spans="3:23" x14ac:dyDescent="0.25">
      <c r="F43" s="89" t="s">
        <v>186</v>
      </c>
      <c r="G43" s="113" t="s">
        <v>167</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185</v>
      </c>
      <c r="G44" s="113" t="s">
        <v>167</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184</v>
      </c>
      <c r="G45" s="113" t="s">
        <v>167</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183</v>
      </c>
      <c r="G46" s="115" t="s">
        <v>167</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414</v>
      </c>
      <c r="H48" s="46"/>
      <c r="I48" s="3"/>
      <c r="J48" s="3"/>
      <c r="K48" s="3"/>
      <c r="L48" s="3"/>
      <c r="M48" s="3"/>
      <c r="N48" s="3"/>
      <c r="O48" s="3"/>
      <c r="P48" s="3"/>
      <c r="Q48" s="3"/>
      <c r="R48" s="3"/>
      <c r="S48" s="3"/>
      <c r="T48" s="3"/>
      <c r="U48" s="3"/>
      <c r="W48" s="3"/>
    </row>
    <row r="49" spans="5:23" x14ac:dyDescent="0.25">
      <c r="E49" s="71" t="s">
        <v>415</v>
      </c>
      <c r="H49" s="46"/>
      <c r="I49" s="3"/>
      <c r="J49" s="3"/>
      <c r="K49" s="3"/>
      <c r="L49" s="3"/>
      <c r="M49" s="3"/>
      <c r="N49" s="3"/>
      <c r="O49" s="3"/>
      <c r="P49" s="3"/>
      <c r="Q49" s="3"/>
      <c r="R49" s="3"/>
      <c r="S49" s="3"/>
      <c r="T49" s="3"/>
      <c r="U49" s="3"/>
      <c r="W49" s="3"/>
    </row>
    <row r="50" spans="5:23" x14ac:dyDescent="0.25">
      <c r="F50" s="182"/>
      <c r="G50" s="182"/>
      <c r="H50" s="185"/>
      <c r="I50" s="182"/>
      <c r="J50" s="182" t="s">
        <v>189</v>
      </c>
      <c r="K50" s="183" t="s">
        <v>191</v>
      </c>
      <c r="L50" s="183" t="s">
        <v>192</v>
      </c>
      <c r="M50" s="183" t="s">
        <v>193</v>
      </c>
      <c r="N50" s="183" t="s">
        <v>194</v>
      </c>
      <c r="O50" s="183" t="s">
        <v>195</v>
      </c>
      <c r="P50" s="183" t="s">
        <v>196</v>
      </c>
      <c r="Q50" s="183" t="s">
        <v>197</v>
      </c>
      <c r="R50" s="183" t="s">
        <v>198</v>
      </c>
      <c r="S50" s="183" t="s">
        <v>199</v>
      </c>
      <c r="T50" s="183" t="s">
        <v>375</v>
      </c>
      <c r="U50" s="183" t="s">
        <v>376</v>
      </c>
      <c r="W50" s="3"/>
    </row>
    <row r="51" spans="5:23" x14ac:dyDescent="0.25">
      <c r="F51" s="89" t="s">
        <v>1159</v>
      </c>
      <c r="G51" s="89"/>
      <c r="H51" s="113" t="s">
        <v>167</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826</v>
      </c>
      <c r="G52" s="89"/>
      <c r="H52" s="113" t="s">
        <v>167</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1160</v>
      </c>
      <c r="G53" s="89"/>
      <c r="H53" s="113" t="s">
        <v>167</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827</v>
      </c>
      <c r="G54" s="89"/>
      <c r="H54" s="113" t="s">
        <v>167</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833</v>
      </c>
      <c r="G55" s="89"/>
      <c r="H55" s="113" t="s">
        <v>167</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834</v>
      </c>
      <c r="G56" s="89"/>
      <c r="H56" s="113" t="s">
        <v>167</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835</v>
      </c>
      <c r="G57" s="89"/>
      <c r="H57" s="113" t="s">
        <v>167</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836</v>
      </c>
      <c r="G58" s="89"/>
      <c r="H58" s="113" t="s">
        <v>167</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828</v>
      </c>
      <c r="G59" s="89"/>
      <c r="H59" s="113" t="s">
        <v>167</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829</v>
      </c>
      <c r="G60" s="89"/>
      <c r="H60" s="113" t="s">
        <v>167</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830</v>
      </c>
      <c r="G61" s="89"/>
      <c r="H61" s="113" t="s">
        <v>167</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839</v>
      </c>
      <c r="G62" s="89"/>
      <c r="H62" s="113" t="s">
        <v>167</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831</v>
      </c>
      <c r="G63" s="89"/>
      <c r="H63" s="113" t="s">
        <v>167</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838</v>
      </c>
      <c r="G64" s="89"/>
      <c r="H64" s="113" t="s">
        <v>167</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832</v>
      </c>
      <c r="G65" s="89"/>
      <c r="H65" s="113" t="s">
        <v>167</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837</v>
      </c>
      <c r="G66" s="96"/>
      <c r="H66" s="115" t="s">
        <v>167</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231</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232</v>
      </c>
      <c r="G70" s="6" t="s">
        <v>55</v>
      </c>
      <c r="H70" s="108">
        <f t="array" ref="H70">SUM(IF(ISERROR(H21:U66), 1))</f>
        <v>0</v>
      </c>
    </row>
    <row r="72" spans="2:23" x14ac:dyDescent="0.25">
      <c r="B72" s="70" t="s">
        <v>106</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416</v>
      </c>
    </row>
    <row r="10" spans="1:43" x14ac:dyDescent="0.25">
      <c r="C10" s="71" t="s">
        <v>417</v>
      </c>
    </row>
    <row r="11" spans="1:43" x14ac:dyDescent="0.25">
      <c r="C11" s="71" t="s">
        <v>418</v>
      </c>
    </row>
    <row r="13" spans="1:43" x14ac:dyDescent="0.25">
      <c r="B13" s="70" t="s">
        <v>419</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420</v>
      </c>
    </row>
    <row r="18" spans="4:43" x14ac:dyDescent="0.25">
      <c r="D18" s="71" t="s">
        <v>421</v>
      </c>
    </row>
    <row r="19" spans="4:43" x14ac:dyDescent="0.25">
      <c r="D19" s="71"/>
    </row>
    <row r="20" spans="4:43" x14ac:dyDescent="0.25">
      <c r="E20" s="100" t="s">
        <v>422</v>
      </c>
      <c r="I20" t="s">
        <v>154</v>
      </c>
      <c r="J20" s="92"/>
      <c r="K20" s="92"/>
      <c r="L20" s="92"/>
      <c r="M20" s="92"/>
      <c r="N20" s="92"/>
      <c r="O20" s="92"/>
      <c r="P20" s="92"/>
      <c r="Q20" s="92"/>
      <c r="R20" s="92"/>
      <c r="S20" s="92"/>
      <c r="T20" s="92"/>
      <c r="U20" s="92"/>
      <c r="V20" s="92"/>
      <c r="W20" s="92"/>
      <c r="X20" s="92"/>
      <c r="Y20" s="92"/>
    </row>
    <row r="21" spans="4:43" x14ac:dyDescent="0.25">
      <c r="E21" s="71" t="s">
        <v>423</v>
      </c>
      <c r="AA21" t="s">
        <v>424</v>
      </c>
    </row>
    <row r="22" spans="4:43" x14ac:dyDescent="0.25">
      <c r="F22" s="90" t="s">
        <v>175</v>
      </c>
      <c r="G22" s="90" t="s">
        <v>167</v>
      </c>
      <c r="H22" s="149">
        <f>'General inputs'!H30</f>
        <v>0.4003457929697154</v>
      </c>
      <c r="AQ22" s="3"/>
    </row>
    <row r="23" spans="4:43" x14ac:dyDescent="0.25">
      <c r="F23" t="s">
        <v>177</v>
      </c>
      <c r="G23" t="s">
        <v>167</v>
      </c>
      <c r="H23" s="150">
        <f>'General inputs'!H31</f>
        <v>0.60435784445160401</v>
      </c>
      <c r="AQ23" s="3"/>
    </row>
    <row r="24" spans="4:43" x14ac:dyDescent="0.25">
      <c r="F24" t="s">
        <v>178</v>
      </c>
      <c r="G24" t="s">
        <v>167</v>
      </c>
      <c r="H24" s="150">
        <f>'General inputs'!H32</f>
        <v>0.33898658826357436</v>
      </c>
      <c r="AQ24" s="3"/>
    </row>
    <row r="25" spans="4:43" x14ac:dyDescent="0.25">
      <c r="F25" s="91" t="s">
        <v>179</v>
      </c>
      <c r="G25" s="91" t="s">
        <v>167</v>
      </c>
      <c r="H25" s="184">
        <f>'General inputs'!H33</f>
        <v>0.24054198685119213</v>
      </c>
      <c r="AQ25" s="3"/>
    </row>
    <row r="27" spans="4:43" x14ac:dyDescent="0.25">
      <c r="E27" s="60" t="s">
        <v>425</v>
      </c>
      <c r="I27" t="s">
        <v>154</v>
      </c>
      <c r="AA27" t="s">
        <v>426</v>
      </c>
      <c r="AQ27" s="3"/>
    </row>
    <row r="28" spans="4:43" x14ac:dyDescent="0.25">
      <c r="E28" s="71" t="s">
        <v>427</v>
      </c>
    </row>
    <row r="29" spans="4:43" x14ac:dyDescent="0.25">
      <c r="E29" s="71" t="s">
        <v>428</v>
      </c>
    </row>
    <row r="30" spans="4:43" x14ac:dyDescent="0.25">
      <c r="F30" s="90" t="s">
        <v>175</v>
      </c>
      <c r="G30" s="90" t="s">
        <v>176</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177</v>
      </c>
      <c r="G31" t="s">
        <v>176</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178</v>
      </c>
      <c r="G32" t="s">
        <v>176</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179</v>
      </c>
      <c r="G33" s="91" t="s">
        <v>176</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429</v>
      </c>
      <c r="G34" s="89" t="s">
        <v>167</v>
      </c>
      <c r="J34" s="188">
        <f t="shared" ref="J34:Y34" si="0">J30 * $H$22</f>
        <v>0.4003457929697154</v>
      </c>
      <c r="K34" s="188">
        <f t="shared" si="0"/>
        <v>0.4003457929697154</v>
      </c>
      <c r="L34" s="188">
        <f t="shared" si="0"/>
        <v>0.4003457929697154</v>
      </c>
      <c r="M34" s="188">
        <f t="shared" si="0"/>
        <v>0.4003457929697154</v>
      </c>
      <c r="N34" s="188">
        <f t="shared" si="0"/>
        <v>0.4003457929697154</v>
      </c>
      <c r="O34" s="188">
        <f t="shared" si="0"/>
        <v>0</v>
      </c>
      <c r="P34" s="188">
        <f t="shared" si="0"/>
        <v>0</v>
      </c>
      <c r="Q34" s="188">
        <f t="shared" si="0"/>
        <v>0.4003457929697154</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430</v>
      </c>
      <c r="G35" s="89" t="s">
        <v>167</v>
      </c>
      <c r="J35" s="188">
        <f t="shared" ref="J35:Y35" si="1">SUMPRODUCT(J31:J33,$H$23:$H$25)</f>
        <v>0.60435784445160401</v>
      </c>
      <c r="K35" s="188">
        <f t="shared" si="1"/>
        <v>0.60435784445160401</v>
      </c>
      <c r="L35" s="188">
        <f t="shared" si="1"/>
        <v>0.60435784445160401</v>
      </c>
      <c r="M35" s="188">
        <f t="shared" si="1"/>
        <v>0.60435784445160401</v>
      </c>
      <c r="N35" s="188">
        <f t="shared" si="1"/>
        <v>0.60435784445160401</v>
      </c>
      <c r="O35" s="188">
        <f t="shared" si="1"/>
        <v>0.33898658826357436</v>
      </c>
      <c r="P35" s="188">
        <f t="shared" si="1"/>
        <v>0.24054198685119213</v>
      </c>
      <c r="Q35" s="188">
        <f t="shared" si="1"/>
        <v>0.60435784445160401</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431</v>
      </c>
      <c r="I37" t="s">
        <v>154</v>
      </c>
      <c r="AA37" t="s">
        <v>426</v>
      </c>
      <c r="AQ37" s="3"/>
    </row>
    <row r="38" spans="4:43" x14ac:dyDescent="0.25">
      <c r="E38" s="71" t="s">
        <v>432</v>
      </c>
    </row>
    <row r="39" spans="4:43" x14ac:dyDescent="0.25">
      <c r="F39" s="89" t="s">
        <v>433</v>
      </c>
      <c r="G39" s="89" t="s">
        <v>209</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434</v>
      </c>
      <c r="G40" s="89" t="s">
        <v>209</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435</v>
      </c>
      <c r="G41" s="89" t="s">
        <v>209</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436</v>
      </c>
      <c r="G42" s="89" t="s">
        <v>209</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437</v>
      </c>
      <c r="G43" s="89" t="s">
        <v>209</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438</v>
      </c>
      <c r="G45" s="89" t="s">
        <v>167</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439</v>
      </c>
      <c r="G46" s="89" t="s">
        <v>167</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440</v>
      </c>
      <c r="G47" s="89" t="s">
        <v>167</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441</v>
      </c>
      <c r="G48" s="89" t="s">
        <v>167</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442</v>
      </c>
      <c r="G49" s="89" t="s">
        <v>167</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443</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950</v>
      </c>
      <c r="AQ55" s="3"/>
    </row>
    <row r="56" spans="2:43" x14ac:dyDescent="0.25">
      <c r="C56" s="71"/>
      <c r="AQ56" s="3"/>
    </row>
    <row r="57" spans="2:43" x14ac:dyDescent="0.25">
      <c r="C57" s="71"/>
      <c r="E57" s="60" t="s">
        <v>901</v>
      </c>
      <c r="G57" s="46"/>
      <c r="I57" t="s">
        <v>154</v>
      </c>
      <c r="AQ57" s="3"/>
    </row>
    <row r="58" spans="2:43" x14ac:dyDescent="0.25">
      <c r="C58" s="71"/>
      <c r="E58" s="60"/>
      <c r="F58" s="111" t="s">
        <v>247</v>
      </c>
      <c r="G58" s="111" t="s">
        <v>207</v>
      </c>
      <c r="H58" s="90"/>
      <c r="I58" s="90"/>
      <c r="J58" s="112"/>
      <c r="K58" s="167">
        <f>'Inputs by customer type'!K23</f>
        <v>583.49065558298639</v>
      </c>
      <c r="L58" s="167">
        <f>'Inputs by customer type'!L23</f>
        <v>17.287783850161901</v>
      </c>
      <c r="M58" s="167">
        <f>'Inputs by customer type'!M23</f>
        <v>483.15300000000002</v>
      </c>
      <c r="N58" s="167">
        <f>'Inputs by customer type'!N23</f>
        <v>11.680688004034213</v>
      </c>
      <c r="O58" s="167">
        <f>'Inputs by customer type'!O23</f>
        <v>0.14310184384727981</v>
      </c>
      <c r="P58" s="167">
        <f>'Inputs by customer type'!P23</f>
        <v>501.18634038179846</v>
      </c>
      <c r="Q58" s="112"/>
      <c r="R58" s="167">
        <f>'Inputs by customer type'!R23</f>
        <v>8914.4630574141829</v>
      </c>
      <c r="S58" s="167">
        <f>'Inputs by customer type'!S23</f>
        <v>52.1242510546167</v>
      </c>
      <c r="T58" s="167">
        <f>'Inputs by customer type'!T23</f>
        <v>5844.5299999999988</v>
      </c>
      <c r="U58" s="167">
        <f>'Inputs by customer type'!U23</f>
        <v>0</v>
      </c>
      <c r="V58" s="167">
        <f>'Inputs by customer type'!V23</f>
        <v>64.59099999999998</v>
      </c>
      <c r="W58" s="167">
        <f>'Inputs by customer type'!W23</f>
        <v>0</v>
      </c>
      <c r="X58" s="167">
        <f>'Inputs by customer type'!X23</f>
        <v>115415.10300000002</v>
      </c>
      <c r="Y58" s="167">
        <f>'Inputs by customer type'!Y23</f>
        <v>0</v>
      </c>
      <c r="AQ58" s="3"/>
    </row>
    <row r="59" spans="2:43" x14ac:dyDescent="0.25">
      <c r="E59" s="60"/>
      <c r="F59" s="113" t="s">
        <v>248</v>
      </c>
      <c r="G59" s="113" t="s">
        <v>207</v>
      </c>
      <c r="J59" s="121"/>
      <c r="K59" s="190">
        <f>'Inputs by customer type'!K24</f>
        <v>16234.514009424238</v>
      </c>
      <c r="L59" s="190">
        <f>'Inputs by customer type'!L24</f>
        <v>89.69185070579644</v>
      </c>
      <c r="M59" s="190">
        <f>'Inputs by customer type'!M24</f>
        <v>7645.8209999999999</v>
      </c>
      <c r="N59" s="190">
        <f>'Inputs by customer type'!N24</f>
        <v>47.630057456640778</v>
      </c>
      <c r="O59" s="190">
        <f>'Inputs by customer type'!O24</f>
        <v>0.55054459369022912</v>
      </c>
      <c r="P59" s="190">
        <f>'Inputs by customer type'!P24</f>
        <v>2309.276574110876</v>
      </c>
      <c r="Q59" s="121"/>
      <c r="R59" s="190">
        <f>'Inputs by customer type'!R24</f>
        <v>49280.917648912247</v>
      </c>
      <c r="S59" s="190">
        <f>'Inputs by customer type'!S24</f>
        <v>227.37680998266927</v>
      </c>
      <c r="T59" s="190">
        <f>'Inputs by customer type'!T24</f>
        <v>27694.188000000006</v>
      </c>
      <c r="U59" s="190">
        <f>'Inputs by customer type'!U24</f>
        <v>0</v>
      </c>
      <c r="V59" s="190">
        <f>'Inputs by customer type'!V24</f>
        <v>326.78199999999998</v>
      </c>
      <c r="W59" s="190">
        <f>'Inputs by customer type'!W24</f>
        <v>0</v>
      </c>
      <c r="X59" s="190">
        <f>'Inputs by customer type'!X24</f>
        <v>421753.54499999998</v>
      </c>
      <c r="Y59" s="190">
        <f>'Inputs by customer type'!Y24</f>
        <v>0</v>
      </c>
      <c r="AQ59" s="3"/>
    </row>
    <row r="60" spans="2:43" x14ac:dyDescent="0.25">
      <c r="E60" s="60"/>
      <c r="F60" s="113" t="s">
        <v>249</v>
      </c>
      <c r="G60" s="113" t="s">
        <v>207</v>
      </c>
      <c r="J60" s="121"/>
      <c r="K60" s="190">
        <f>'Inputs by customer type'!K25</f>
        <v>163317.30533499279</v>
      </c>
      <c r="L60" s="190">
        <f>'Inputs by customer type'!L25</f>
        <v>74.176229689763986</v>
      </c>
      <c r="M60" s="190">
        <f>'Inputs by customer type'!M25</f>
        <v>33432.284</v>
      </c>
      <c r="N60" s="190">
        <f>'Inputs by customer type'!N25</f>
        <v>60.893809608235522</v>
      </c>
      <c r="O60" s="190">
        <f>'Inputs by customer type'!O25</f>
        <v>0.77911003872407869</v>
      </c>
      <c r="P60" s="190">
        <f>'Inputs by customer type'!P25</f>
        <v>2960.6388173812438</v>
      </c>
      <c r="Q60" s="121"/>
      <c r="R60" s="190">
        <f>'Inputs by customer type'!R25</f>
        <v>22702.507450935238</v>
      </c>
      <c r="S60" s="190">
        <f>'Inputs by customer type'!S25</f>
        <v>201.46913946310823</v>
      </c>
      <c r="T60" s="190">
        <f>'Inputs by customer type'!T25</f>
        <v>29330.011000000002</v>
      </c>
      <c r="U60" s="190">
        <f>'Inputs by customer type'!U25</f>
        <v>0</v>
      </c>
      <c r="V60" s="190">
        <f>'Inputs by customer type'!V25</f>
        <v>309.74</v>
      </c>
      <c r="W60" s="190">
        <f>'Inputs by customer type'!W25</f>
        <v>0</v>
      </c>
      <c r="X60" s="190">
        <f>'Inputs by customer type'!X25</f>
        <v>491598.924</v>
      </c>
      <c r="Y60" s="190">
        <f>'Inputs by customer type'!Y25</f>
        <v>0</v>
      </c>
      <c r="AQ60" s="3"/>
    </row>
    <row r="61" spans="2:43" x14ac:dyDescent="0.25">
      <c r="E61" s="60"/>
      <c r="F61" s="113" t="s">
        <v>212</v>
      </c>
      <c r="G61" s="113" t="s">
        <v>212</v>
      </c>
      <c r="J61" s="121"/>
      <c r="K61" s="190">
        <f>'Inputs by customer type'!K26</f>
        <v>90201</v>
      </c>
      <c r="L61" s="190">
        <f>'Inputs by customer type'!L26</f>
        <v>59</v>
      </c>
      <c r="M61" s="190">
        <f>'Inputs by customer type'!M26</f>
        <v>5142</v>
      </c>
      <c r="N61" s="190">
        <f>'Inputs by customer type'!N26</f>
        <v>24</v>
      </c>
      <c r="O61" s="190">
        <f>'Inputs by customer type'!O26</f>
        <v>1</v>
      </c>
      <c r="P61" s="190">
        <f>'Inputs by customer type'!P26</f>
        <v>148</v>
      </c>
      <c r="Q61" s="121"/>
      <c r="R61" s="190">
        <f>'Inputs by customer type'!R26</f>
        <v>14150.894574354708</v>
      </c>
      <c r="S61" s="190">
        <f>'Inputs by customer type'!S26</f>
        <v>7</v>
      </c>
      <c r="T61" s="190">
        <f>'Inputs by customer type'!T26</f>
        <v>549</v>
      </c>
      <c r="U61" s="190">
        <f>'Inputs by customer type'!U26</f>
        <v>0</v>
      </c>
      <c r="V61" s="190">
        <f>'Inputs by customer type'!V26</f>
        <v>9</v>
      </c>
      <c r="W61" s="190">
        <f>'Inputs by customer type'!W26</f>
        <v>0</v>
      </c>
      <c r="X61" s="190">
        <f>'Inputs by customer type'!X26</f>
        <v>263</v>
      </c>
      <c r="Y61" s="190">
        <f>'Inputs by customer type'!Y26</f>
        <v>0</v>
      </c>
      <c r="AQ61" s="3"/>
    </row>
    <row r="62" spans="2:43" x14ac:dyDescent="0.25">
      <c r="E62" s="60"/>
      <c r="F62" s="113" t="s">
        <v>250</v>
      </c>
      <c r="G62" s="113" t="s">
        <v>251</v>
      </c>
      <c r="J62" s="121"/>
      <c r="K62" s="190">
        <f>'Inputs by customer type'!K27</f>
        <v>0</v>
      </c>
      <c r="L62" s="190">
        <f>'Inputs by customer type'!L27</f>
        <v>0</v>
      </c>
      <c r="M62" s="190">
        <f>'Inputs by customer type'!M27</f>
        <v>0</v>
      </c>
      <c r="N62" s="190">
        <f>'Inputs by customer type'!N27</f>
        <v>992</v>
      </c>
      <c r="O62" s="190">
        <f>'Inputs by customer type'!O27</f>
        <v>8</v>
      </c>
      <c r="P62" s="190">
        <f>'Inputs by customer type'!P27</f>
        <v>14725</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252</v>
      </c>
      <c r="G63" s="113" t="s">
        <v>251</v>
      </c>
      <c r="J63" s="121"/>
      <c r="K63" s="190">
        <f>'Inputs by customer type'!K28</f>
        <v>0</v>
      </c>
      <c r="L63" s="190">
        <f>'Inputs by customer type'!L28</f>
        <v>0</v>
      </c>
      <c r="M63" s="190">
        <f>'Inputs by customer type'!M28</f>
        <v>0</v>
      </c>
      <c r="N63" s="190">
        <f>'Inputs by customer type'!N28</f>
        <v>23.583333333333332</v>
      </c>
      <c r="O63" s="190">
        <f>'Inputs by customer type'!O28</f>
        <v>10.416666666666666</v>
      </c>
      <c r="P63" s="190">
        <f>'Inputs by customer type'!P28</f>
        <v>1297.6666666666667</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253</v>
      </c>
      <c r="G64" s="115" t="s">
        <v>254</v>
      </c>
      <c r="H64" s="91"/>
      <c r="I64" s="91"/>
      <c r="J64" s="116"/>
      <c r="K64" s="168">
        <f>'Inputs by customer type'!K29</f>
        <v>0</v>
      </c>
      <c r="L64" s="168">
        <f>'Inputs by customer type'!L29</f>
        <v>0</v>
      </c>
      <c r="M64" s="168">
        <f>'Inputs by customer type'!M29</f>
        <v>0</v>
      </c>
      <c r="N64" s="168">
        <f>'Inputs by customer type'!N29</f>
        <v>57.555</v>
      </c>
      <c r="O64" s="168">
        <f>'Inputs by customer type'!O29</f>
        <v>2.9279999999999999</v>
      </c>
      <c r="P64" s="168">
        <f>'Inputs by customer type'!P29</f>
        <v>1841.1489999999999</v>
      </c>
      <c r="Q64" s="116"/>
      <c r="R64" s="168">
        <f>'Inputs by customer type'!R29</f>
        <v>0</v>
      </c>
      <c r="S64" s="168">
        <f>'Inputs by customer type'!S29</f>
        <v>0</v>
      </c>
      <c r="T64" s="168">
        <f>'Inputs by customer type'!T29</f>
        <v>6086.3360000000011</v>
      </c>
      <c r="U64" s="168">
        <f>'Inputs by customer type'!U29</f>
        <v>0</v>
      </c>
      <c r="V64" s="168">
        <f>'Inputs by customer type'!V29</f>
        <v>184.05</v>
      </c>
      <c r="W64" s="168">
        <f>'Inputs by customer type'!W29</f>
        <v>0</v>
      </c>
      <c r="X64" s="168">
        <f>'Inputs by customer type'!X29</f>
        <v>18732.55</v>
      </c>
      <c r="Y64" s="168">
        <f>'Inputs by customer type'!Y29</f>
        <v>0</v>
      </c>
      <c r="AQ64" s="3"/>
    </row>
    <row r="65" spans="3:43" x14ac:dyDescent="0.25">
      <c r="C65" s="71"/>
      <c r="AQ65" s="3"/>
    </row>
    <row r="66" spans="3:43" x14ac:dyDescent="0.25">
      <c r="C66" s="71"/>
      <c r="E66" s="60" t="s">
        <v>935</v>
      </c>
      <c r="G66" s="46"/>
      <c r="I66" t="s">
        <v>154</v>
      </c>
      <c r="AQ66" s="3"/>
    </row>
    <row r="67" spans="3:43" x14ac:dyDescent="0.25">
      <c r="C67" s="71"/>
      <c r="E67" s="60"/>
      <c r="F67" s="111" t="s">
        <v>247</v>
      </c>
      <c r="G67" s="111" t="s">
        <v>207</v>
      </c>
      <c r="H67" s="90"/>
      <c r="I67" s="90"/>
      <c r="J67" s="167">
        <f>'Inputs by customer type'!J32</f>
        <v>703559.81712934223</v>
      </c>
      <c r="K67" s="112"/>
      <c r="L67" s="167">
        <f>'Inputs by customer type'!L32</f>
        <v>16503.980903325719</v>
      </c>
      <c r="M67" s="112"/>
      <c r="N67" s="167">
        <f>'Inputs by customer type'!N32</f>
        <v>47456.547464738745</v>
      </c>
      <c r="O67" s="167">
        <f>'Inputs by customer type'!O32</f>
        <v>122.4524465326782</v>
      </c>
      <c r="P67" s="167">
        <f>'Inputs by customer type'!P32</f>
        <v>16413.604750339815</v>
      </c>
      <c r="Q67" s="167">
        <f>'Inputs by customer type'!Q32</f>
        <v>10411.538342882297</v>
      </c>
      <c r="R67" s="112"/>
      <c r="S67" s="112"/>
      <c r="T67" s="112"/>
      <c r="U67" s="112"/>
      <c r="V67" s="112"/>
      <c r="W67" s="112"/>
      <c r="X67" s="112"/>
      <c r="Y67" s="112"/>
      <c r="AQ67" s="3"/>
    </row>
    <row r="68" spans="3:43" x14ac:dyDescent="0.25">
      <c r="E68" s="60"/>
      <c r="F68" s="113" t="s">
        <v>248</v>
      </c>
      <c r="G68" s="113" t="s">
        <v>207</v>
      </c>
      <c r="J68" s="190">
        <f>'Inputs by customer type'!J33</f>
        <v>2447600.8517030654</v>
      </c>
      <c r="K68" s="121"/>
      <c r="L68" s="190">
        <f>'Inputs by customer type'!L33</f>
        <v>85625.352796075284</v>
      </c>
      <c r="M68" s="121"/>
      <c r="N68" s="190">
        <f>'Inputs by customer type'!N33</f>
        <v>227086.37220120273</v>
      </c>
      <c r="O68" s="190">
        <f>'Inputs by customer type'!O33</f>
        <v>570.50233209290229</v>
      </c>
      <c r="P68" s="190">
        <f>'Inputs by customer type'!P33</f>
        <v>78891.638738172347</v>
      </c>
      <c r="Q68" s="190">
        <f>'Inputs by customer type'!Q33</f>
        <v>60982.689512370809</v>
      </c>
      <c r="R68" s="121"/>
      <c r="S68" s="121"/>
      <c r="T68" s="121"/>
      <c r="U68" s="121"/>
      <c r="V68" s="121"/>
      <c r="W68" s="121"/>
      <c r="X68" s="121"/>
      <c r="Y68" s="121"/>
      <c r="AQ68" s="3"/>
    </row>
    <row r="69" spans="3:43" x14ac:dyDescent="0.25">
      <c r="E69" s="60"/>
      <c r="F69" s="113" t="s">
        <v>249</v>
      </c>
      <c r="G69" s="113" t="s">
        <v>207</v>
      </c>
      <c r="J69" s="190">
        <f>'Inputs by customer type'!J34</f>
        <v>2346502.0044514849</v>
      </c>
      <c r="K69" s="121"/>
      <c r="L69" s="190">
        <f>'Inputs by customer type'!L34</f>
        <v>70813.187444445182</v>
      </c>
      <c r="M69" s="121"/>
      <c r="N69" s="190">
        <f>'Inputs by customer type'!N34</f>
        <v>199145.42614226352</v>
      </c>
      <c r="O69" s="190">
        <f>'Inputs by customer type'!O34</f>
        <v>603.57575198930022</v>
      </c>
      <c r="P69" s="190">
        <f>'Inputs by customer type'!P34</f>
        <v>82180.443622255261</v>
      </c>
      <c r="Q69" s="190">
        <f>'Inputs by customer type'!Q34</f>
        <v>138883.6383279369</v>
      </c>
      <c r="R69" s="121"/>
      <c r="S69" s="121"/>
      <c r="T69" s="121"/>
      <c r="U69" s="121"/>
      <c r="V69" s="121"/>
      <c r="W69" s="121"/>
      <c r="X69" s="121"/>
      <c r="Y69" s="121"/>
      <c r="AQ69" s="3"/>
    </row>
    <row r="70" spans="3:43" x14ac:dyDescent="0.25">
      <c r="E70" s="60"/>
      <c r="F70" s="113" t="s">
        <v>212</v>
      </c>
      <c r="G70" s="113" t="s">
        <v>212</v>
      </c>
      <c r="J70" s="190">
        <f>'Inputs by customer type'!J35</f>
        <v>1860265</v>
      </c>
      <c r="K70" s="121"/>
      <c r="L70" s="190">
        <f>'Inputs by customer type'!L35</f>
        <v>45050</v>
      </c>
      <c r="M70" s="121"/>
      <c r="N70" s="190">
        <f>'Inputs by customer type'!N35</f>
        <v>4569</v>
      </c>
      <c r="O70" s="190">
        <f>'Inputs by customer type'!O35</f>
        <v>9</v>
      </c>
      <c r="P70" s="190">
        <f>'Inputs by customer type'!P35</f>
        <v>348</v>
      </c>
      <c r="Q70" s="190">
        <f>'Inputs by customer type'!Q35</f>
        <v>4855</v>
      </c>
      <c r="R70" s="121"/>
      <c r="S70" s="121"/>
      <c r="T70" s="121"/>
      <c r="U70" s="121"/>
      <c r="V70" s="121"/>
      <c r="W70" s="121"/>
      <c r="X70" s="121"/>
      <c r="Y70" s="121"/>
      <c r="AQ70" s="3"/>
    </row>
    <row r="71" spans="3:43" x14ac:dyDescent="0.25">
      <c r="E71" s="60"/>
      <c r="F71" s="113" t="s">
        <v>250</v>
      </c>
      <c r="G71" s="113" t="s">
        <v>251</v>
      </c>
      <c r="J71" s="190">
        <f>'Inputs by customer type'!J36</f>
        <v>0</v>
      </c>
      <c r="K71" s="121"/>
      <c r="L71" s="190">
        <f>'Inputs by customer type'!L36</f>
        <v>0</v>
      </c>
      <c r="M71" s="121"/>
      <c r="N71" s="190">
        <f>'Inputs by customer type'!N36</f>
        <v>255295</v>
      </c>
      <c r="O71" s="190">
        <f>'Inputs by customer type'!O36</f>
        <v>456</v>
      </c>
      <c r="P71" s="190">
        <f>'Inputs by customer type'!P36</f>
        <v>71484</v>
      </c>
      <c r="Q71" s="190">
        <f>'Inputs by customer type'!Q36</f>
        <v>0</v>
      </c>
      <c r="R71" s="121"/>
      <c r="S71" s="121"/>
      <c r="T71" s="121"/>
      <c r="U71" s="121"/>
      <c r="V71" s="121"/>
      <c r="W71" s="121"/>
      <c r="X71" s="121"/>
      <c r="Y71" s="121"/>
      <c r="AQ71" s="3"/>
    </row>
    <row r="72" spans="3:43" x14ac:dyDescent="0.25">
      <c r="E72" s="60"/>
      <c r="F72" s="113" t="s">
        <v>252</v>
      </c>
      <c r="G72" s="113" t="s">
        <v>251</v>
      </c>
      <c r="J72" s="190">
        <f>'Inputs by customer type'!J37</f>
        <v>0</v>
      </c>
      <c r="K72" s="121"/>
      <c r="L72" s="190">
        <f>'Inputs by customer type'!L37</f>
        <v>0</v>
      </c>
      <c r="M72" s="121"/>
      <c r="N72" s="190">
        <f>'Inputs by customer type'!N37</f>
        <v>12629.416666666668</v>
      </c>
      <c r="O72" s="190">
        <f>'Inputs by customer type'!O37</f>
        <v>310.16666666666663</v>
      </c>
      <c r="P72" s="190">
        <f>'Inputs by customer type'!P37</f>
        <v>4117.416666666667</v>
      </c>
      <c r="Q72" s="190">
        <f>'Inputs by customer type'!Q37</f>
        <v>0</v>
      </c>
      <c r="R72" s="121"/>
      <c r="S72" s="121"/>
      <c r="T72" s="121"/>
      <c r="U72" s="121"/>
      <c r="V72" s="121"/>
      <c r="W72" s="121"/>
      <c r="X72" s="121"/>
      <c r="Y72" s="121"/>
      <c r="AQ72" s="3"/>
    </row>
    <row r="73" spans="3:43" x14ac:dyDescent="0.25">
      <c r="E73" s="60"/>
      <c r="F73" s="115" t="s">
        <v>253</v>
      </c>
      <c r="G73" s="115" t="s">
        <v>254</v>
      </c>
      <c r="H73" s="91"/>
      <c r="I73" s="91"/>
      <c r="J73" s="168">
        <f>'Inputs by customer type'!J38</f>
        <v>0</v>
      </c>
      <c r="K73" s="116"/>
      <c r="L73" s="168">
        <f>'Inputs by customer type'!L38</f>
        <v>0</v>
      </c>
      <c r="M73" s="116"/>
      <c r="N73" s="168">
        <f>'Inputs by customer type'!N38</f>
        <v>46848.589</v>
      </c>
      <c r="O73" s="168">
        <f>'Inputs by customer type'!O38</f>
        <v>657.54399999999998</v>
      </c>
      <c r="P73" s="168">
        <f>'Inputs by customer type'!P38</f>
        <v>21709.762999999999</v>
      </c>
      <c r="Q73" s="168">
        <f>'Inputs by customer type'!Q38</f>
        <v>0</v>
      </c>
      <c r="R73" s="116"/>
      <c r="S73" s="116"/>
      <c r="T73" s="116"/>
      <c r="U73" s="116"/>
      <c r="V73" s="116"/>
      <c r="W73" s="116"/>
      <c r="X73" s="116"/>
      <c r="Y73" s="116"/>
      <c r="AQ73" s="3"/>
    </row>
    <row r="74" spans="3:43" x14ac:dyDescent="0.25">
      <c r="AQ74" s="3"/>
    </row>
    <row r="75" spans="3:43" x14ac:dyDescent="0.25">
      <c r="C75" s="71"/>
      <c r="E75" s="60" t="s">
        <v>936</v>
      </c>
      <c r="G75" s="46"/>
      <c r="I75" t="s">
        <v>154</v>
      </c>
      <c r="AQ75" s="3"/>
    </row>
    <row r="76" spans="3:43" x14ac:dyDescent="0.25">
      <c r="C76" s="71"/>
      <c r="E76" s="60"/>
      <c r="F76" s="111" t="s">
        <v>247</v>
      </c>
      <c r="G76" s="111" t="s">
        <v>207</v>
      </c>
      <c r="H76" s="90"/>
      <c r="I76" s="90"/>
      <c r="J76" s="112"/>
      <c r="K76" s="112"/>
      <c r="L76" s="167">
        <f>'Inputs by customer type'!L41</f>
        <v>29101.976524345333</v>
      </c>
      <c r="M76" s="112"/>
      <c r="N76" s="167">
        <f>'Inputs by customer type'!N41</f>
        <v>70214.940997212165</v>
      </c>
      <c r="O76" s="167">
        <f>'Inputs by customer type'!O41</f>
        <v>640.93328333587624</v>
      </c>
      <c r="P76" s="167">
        <f>'Inputs by customer type'!P41</f>
        <v>62616.787705325325</v>
      </c>
      <c r="Q76" s="112"/>
      <c r="R76" s="112"/>
      <c r="S76" s="112"/>
      <c r="T76" s="112"/>
      <c r="U76" s="112"/>
      <c r="V76" s="112"/>
      <c r="W76" s="112"/>
      <c r="X76" s="112"/>
      <c r="Y76" s="112"/>
      <c r="AQ76" s="3"/>
    </row>
    <row r="77" spans="3:43" x14ac:dyDescent="0.25">
      <c r="E77" s="60"/>
      <c r="F77" s="113" t="s">
        <v>248</v>
      </c>
      <c r="G77" s="113" t="s">
        <v>207</v>
      </c>
      <c r="J77" s="121"/>
      <c r="K77" s="121"/>
      <c r="L77" s="190">
        <f>'Inputs by customer type'!L42</f>
        <v>150985.81497134635</v>
      </c>
      <c r="M77" s="121"/>
      <c r="N77" s="190">
        <f>'Inputs by customer type'!N42</f>
        <v>326249.73300726258</v>
      </c>
      <c r="O77" s="190">
        <f>'Inputs by customer type'!O42</f>
        <v>2730.7150973827993</v>
      </c>
      <c r="P77" s="190">
        <f>'Inputs by customer type'!P42</f>
        <v>299340.71587722353</v>
      </c>
      <c r="Q77" s="121"/>
      <c r="R77" s="121"/>
      <c r="S77" s="121"/>
      <c r="T77" s="121"/>
      <c r="U77" s="121"/>
      <c r="V77" s="121"/>
      <c r="W77" s="121"/>
      <c r="X77" s="121"/>
      <c r="Y77" s="121"/>
      <c r="AQ77" s="3"/>
    </row>
    <row r="78" spans="3:43" x14ac:dyDescent="0.25">
      <c r="E78" s="60"/>
      <c r="F78" s="113" t="s">
        <v>249</v>
      </c>
      <c r="G78" s="113" t="s">
        <v>207</v>
      </c>
      <c r="J78" s="121"/>
      <c r="K78" s="121"/>
      <c r="L78" s="190">
        <f>'Inputs by customer type'!L43</f>
        <v>124867.0687813894</v>
      </c>
      <c r="M78" s="121"/>
      <c r="N78" s="190">
        <f>'Inputs by customer type'!N43</f>
        <v>286556.28865027358</v>
      </c>
      <c r="O78" s="190">
        <f>'Inputs by customer type'!O43</f>
        <v>2796.0232013686013</v>
      </c>
      <c r="P78" s="190">
        <f>'Inputs by customer type'!P43</f>
        <v>299261.62772174185</v>
      </c>
      <c r="Q78" s="121"/>
      <c r="R78" s="121"/>
      <c r="S78" s="121"/>
      <c r="T78" s="121"/>
      <c r="U78" s="121"/>
      <c r="V78" s="121"/>
      <c r="W78" s="121"/>
      <c r="X78" s="121"/>
      <c r="Y78" s="121"/>
      <c r="AQ78" s="3"/>
    </row>
    <row r="79" spans="3:43" x14ac:dyDescent="0.25">
      <c r="E79" s="60"/>
      <c r="F79" s="113" t="s">
        <v>212</v>
      </c>
      <c r="G79" s="113" t="s">
        <v>212</v>
      </c>
      <c r="J79" s="121"/>
      <c r="K79" s="121"/>
      <c r="L79" s="190">
        <f>'Inputs by customer type'!L44</f>
        <v>37112</v>
      </c>
      <c r="M79" s="121"/>
      <c r="N79" s="190">
        <f>'Inputs by customer type'!N44</f>
        <v>3810</v>
      </c>
      <c r="O79" s="190">
        <f>'Inputs by customer type'!O44</f>
        <v>23</v>
      </c>
      <c r="P79" s="190">
        <f>'Inputs by customer type'!P44</f>
        <v>401</v>
      </c>
      <c r="Q79" s="121"/>
      <c r="R79" s="121"/>
      <c r="S79" s="121"/>
      <c r="T79" s="121"/>
      <c r="U79" s="121"/>
      <c r="V79" s="121"/>
      <c r="W79" s="121"/>
      <c r="X79" s="121"/>
      <c r="Y79" s="121"/>
      <c r="AQ79" s="3"/>
    </row>
    <row r="80" spans="3:43" x14ac:dyDescent="0.25">
      <c r="E80" s="60"/>
      <c r="F80" s="113" t="s">
        <v>250</v>
      </c>
      <c r="G80" s="113" t="s">
        <v>251</v>
      </c>
      <c r="J80" s="121"/>
      <c r="K80" s="121"/>
      <c r="L80" s="190">
        <f>'Inputs by customer type'!L45</f>
        <v>0</v>
      </c>
      <c r="M80" s="121"/>
      <c r="N80" s="190">
        <f>'Inputs by customer type'!N45</f>
        <v>427058</v>
      </c>
      <c r="O80" s="190">
        <f>'Inputs by customer type'!O45</f>
        <v>2620</v>
      </c>
      <c r="P80" s="190">
        <f>'Inputs by customer type'!P45</f>
        <v>278962</v>
      </c>
      <c r="Q80" s="121"/>
      <c r="R80" s="121"/>
      <c r="S80" s="121"/>
      <c r="T80" s="121"/>
      <c r="U80" s="121"/>
      <c r="V80" s="121"/>
      <c r="W80" s="121"/>
      <c r="X80" s="121"/>
      <c r="Y80" s="121"/>
      <c r="AQ80" s="3"/>
    </row>
    <row r="81" spans="3:43" x14ac:dyDescent="0.25">
      <c r="E81" s="60"/>
      <c r="F81" s="113" t="s">
        <v>252</v>
      </c>
      <c r="G81" s="113" t="s">
        <v>251</v>
      </c>
      <c r="J81" s="121"/>
      <c r="K81" s="121"/>
      <c r="L81" s="190">
        <f>'Inputs by customer type'!L46</f>
        <v>0</v>
      </c>
      <c r="M81" s="121"/>
      <c r="N81" s="190">
        <f>'Inputs by customer type'!N46</f>
        <v>6636.25</v>
      </c>
      <c r="O81" s="190">
        <f>'Inputs by customer type'!O46</f>
        <v>240.66666666666666</v>
      </c>
      <c r="P81" s="190">
        <f>'Inputs by customer type'!P46</f>
        <v>1776.0833333333335</v>
      </c>
      <c r="Q81" s="121"/>
      <c r="R81" s="121"/>
      <c r="S81" s="121"/>
      <c r="T81" s="121"/>
      <c r="U81" s="121"/>
      <c r="V81" s="121"/>
      <c r="W81" s="121"/>
      <c r="X81" s="121"/>
      <c r="Y81" s="121"/>
      <c r="AQ81" s="3"/>
    </row>
    <row r="82" spans="3:43" x14ac:dyDescent="0.25">
      <c r="E82" s="60"/>
      <c r="F82" s="115" t="s">
        <v>253</v>
      </c>
      <c r="G82" s="115" t="s">
        <v>254</v>
      </c>
      <c r="H82" s="91"/>
      <c r="I82" s="91"/>
      <c r="J82" s="116"/>
      <c r="K82" s="116"/>
      <c r="L82" s="168">
        <f>'Inputs by customer type'!L47</f>
        <v>0</v>
      </c>
      <c r="M82" s="116"/>
      <c r="N82" s="168">
        <f>'Inputs by customer type'!N47</f>
        <v>57512.046000000002</v>
      </c>
      <c r="O82" s="168">
        <f>'Inputs by customer type'!O47</f>
        <v>552.947</v>
      </c>
      <c r="P82" s="168">
        <f>'Inputs by customer type'!P47</f>
        <v>33920.678999999996</v>
      </c>
      <c r="Q82" s="116"/>
      <c r="R82" s="116"/>
      <c r="S82" s="116"/>
      <c r="T82" s="116"/>
      <c r="U82" s="116"/>
      <c r="V82" s="116"/>
      <c r="W82" s="116"/>
      <c r="X82" s="116"/>
      <c r="Y82" s="116"/>
      <c r="AQ82" s="3"/>
    </row>
    <row r="83" spans="3:43" x14ac:dyDescent="0.25">
      <c r="AQ83" s="3"/>
    </row>
    <row r="84" spans="3:43" x14ac:dyDescent="0.25">
      <c r="C84" s="71"/>
      <c r="E84" s="60" t="s">
        <v>937</v>
      </c>
      <c r="G84" s="46"/>
      <c r="I84" t="s">
        <v>154</v>
      </c>
      <c r="AQ84" s="3"/>
    </row>
    <row r="85" spans="3:43" x14ac:dyDescent="0.25">
      <c r="C85" s="71"/>
      <c r="E85" s="60"/>
      <c r="F85" s="111" t="s">
        <v>247</v>
      </c>
      <c r="G85" s="111" t="s">
        <v>207</v>
      </c>
      <c r="H85" s="90"/>
      <c r="I85" s="90"/>
      <c r="J85" s="112"/>
      <c r="K85" s="112"/>
      <c r="L85" s="167">
        <f>'Inputs by customer type'!L50</f>
        <v>35680.021373431162</v>
      </c>
      <c r="M85" s="112"/>
      <c r="N85" s="167">
        <f>'Inputs by customer type'!N50</f>
        <v>37760.726754192518</v>
      </c>
      <c r="O85" s="167">
        <f>'Inputs by customer type'!O50</f>
        <v>1971.4644145437487</v>
      </c>
      <c r="P85" s="167">
        <f>'Inputs by customer type'!P50</f>
        <v>55347.504030953489</v>
      </c>
      <c r="Q85" s="112"/>
      <c r="R85" s="112"/>
      <c r="S85" s="112"/>
      <c r="T85" s="112"/>
      <c r="U85" s="112"/>
      <c r="V85" s="112"/>
      <c r="W85" s="112"/>
      <c r="X85" s="112"/>
      <c r="Y85" s="112"/>
      <c r="AQ85" s="3"/>
    </row>
    <row r="86" spans="3:43" x14ac:dyDescent="0.25">
      <c r="E86" s="60"/>
      <c r="F86" s="113" t="s">
        <v>248</v>
      </c>
      <c r="G86" s="113" t="s">
        <v>207</v>
      </c>
      <c r="J86" s="121"/>
      <c r="K86" s="121"/>
      <c r="L86" s="190">
        <f>'Inputs by customer type'!L51</f>
        <v>185113.78774413836</v>
      </c>
      <c r="M86" s="121"/>
      <c r="N86" s="190">
        <f>'Inputs by customer type'!N51</f>
        <v>183346.91599941591</v>
      </c>
      <c r="O86" s="190">
        <f>'Inputs by customer type'!O51</f>
        <v>9124.5452309914381</v>
      </c>
      <c r="P86" s="190">
        <f>'Inputs by customer type'!P51</f>
        <v>258476.65741877313</v>
      </c>
      <c r="Q86" s="121"/>
      <c r="R86" s="121"/>
      <c r="S86" s="121"/>
      <c r="T86" s="121"/>
      <c r="U86" s="121"/>
      <c r="V86" s="121"/>
      <c r="W86" s="121"/>
      <c r="X86" s="121"/>
      <c r="Y86" s="121"/>
      <c r="AQ86" s="3"/>
    </row>
    <row r="87" spans="3:43" x14ac:dyDescent="0.25">
      <c r="E87" s="60"/>
      <c r="F87" s="113" t="s">
        <v>249</v>
      </c>
      <c r="G87" s="113" t="s">
        <v>207</v>
      </c>
      <c r="J87" s="121"/>
      <c r="K87" s="121"/>
      <c r="L87" s="190">
        <f>'Inputs by customer type'!L52</f>
        <v>153091.30908103829</v>
      </c>
      <c r="M87" s="121"/>
      <c r="N87" s="190">
        <f>'Inputs by customer type'!N52</f>
        <v>166169.22705479202</v>
      </c>
      <c r="O87" s="190">
        <f>'Inputs by customer type'!O52</f>
        <v>10085.728515703873</v>
      </c>
      <c r="P87" s="190">
        <f>'Inputs by customer type'!P52</f>
        <v>270569.8327389044</v>
      </c>
      <c r="Q87" s="121"/>
      <c r="R87" s="121"/>
      <c r="S87" s="121"/>
      <c r="T87" s="121"/>
      <c r="U87" s="121"/>
      <c r="V87" s="121"/>
      <c r="W87" s="121"/>
      <c r="X87" s="121"/>
      <c r="Y87" s="121"/>
      <c r="AQ87" s="3"/>
    </row>
    <row r="88" spans="3:43" x14ac:dyDescent="0.25">
      <c r="E88" s="60"/>
      <c r="F88" s="113" t="s">
        <v>212</v>
      </c>
      <c r="G88" s="113" t="s">
        <v>212</v>
      </c>
      <c r="J88" s="121"/>
      <c r="K88" s="121"/>
      <c r="L88" s="190">
        <f>'Inputs by customer type'!L53</f>
        <v>20997</v>
      </c>
      <c r="M88" s="121"/>
      <c r="N88" s="190">
        <f>'Inputs by customer type'!N53</f>
        <v>1287</v>
      </c>
      <c r="O88" s="190">
        <f>'Inputs by customer type'!O53</f>
        <v>42</v>
      </c>
      <c r="P88" s="190">
        <f>'Inputs by customer type'!P53</f>
        <v>180</v>
      </c>
      <c r="Q88" s="121"/>
      <c r="R88" s="121"/>
      <c r="S88" s="121"/>
      <c r="T88" s="121"/>
      <c r="U88" s="121"/>
      <c r="V88" s="121"/>
      <c r="W88" s="121"/>
      <c r="X88" s="121"/>
      <c r="Y88" s="121"/>
      <c r="AQ88" s="3"/>
    </row>
    <row r="89" spans="3:43" x14ac:dyDescent="0.25">
      <c r="E89" s="60"/>
      <c r="F89" s="113" t="s">
        <v>250</v>
      </c>
      <c r="G89" s="113" t="s">
        <v>251</v>
      </c>
      <c r="J89" s="121"/>
      <c r="K89" s="121"/>
      <c r="L89" s="190">
        <f>'Inputs by customer type'!L54</f>
        <v>0</v>
      </c>
      <c r="M89" s="121"/>
      <c r="N89" s="190">
        <f>'Inputs by customer type'!N54</f>
        <v>238424</v>
      </c>
      <c r="O89" s="190">
        <f>'Inputs by customer type'!O54</f>
        <v>8152</v>
      </c>
      <c r="P89" s="190">
        <f>'Inputs by customer type'!P54</f>
        <v>245287</v>
      </c>
      <c r="Q89" s="121"/>
      <c r="R89" s="121"/>
      <c r="S89" s="121"/>
      <c r="T89" s="121"/>
      <c r="U89" s="121"/>
      <c r="V89" s="121"/>
      <c r="W89" s="121"/>
      <c r="X89" s="121"/>
      <c r="Y89" s="121"/>
      <c r="AQ89" s="3"/>
    </row>
    <row r="90" spans="3:43" x14ac:dyDescent="0.25">
      <c r="E90" s="60"/>
      <c r="F90" s="113" t="s">
        <v>252</v>
      </c>
      <c r="G90" s="113" t="s">
        <v>251</v>
      </c>
      <c r="J90" s="121"/>
      <c r="K90" s="121"/>
      <c r="L90" s="190">
        <f>'Inputs by customer type'!L55</f>
        <v>0</v>
      </c>
      <c r="M90" s="121"/>
      <c r="N90" s="190">
        <f>'Inputs by customer type'!N55</f>
        <v>1211.1666666666667</v>
      </c>
      <c r="O90" s="190">
        <f>'Inputs by customer type'!O55</f>
        <v>59.583333333333336</v>
      </c>
      <c r="P90" s="190">
        <f>'Inputs by customer type'!P55</f>
        <v>1505.75</v>
      </c>
      <c r="Q90" s="121"/>
      <c r="R90" s="121"/>
      <c r="S90" s="121"/>
      <c r="T90" s="121"/>
      <c r="U90" s="121"/>
      <c r="V90" s="121"/>
      <c r="W90" s="121"/>
      <c r="X90" s="121"/>
      <c r="Y90" s="121"/>
      <c r="AQ90" s="3"/>
    </row>
    <row r="91" spans="3:43" x14ac:dyDescent="0.25">
      <c r="E91" s="60"/>
      <c r="F91" s="115" t="s">
        <v>253</v>
      </c>
      <c r="G91" s="115" t="s">
        <v>254</v>
      </c>
      <c r="H91" s="91"/>
      <c r="I91" s="91"/>
      <c r="J91" s="116"/>
      <c r="K91" s="116"/>
      <c r="L91" s="168">
        <f>'Inputs by customer type'!L56</f>
        <v>0</v>
      </c>
      <c r="M91" s="116"/>
      <c r="N91" s="168">
        <f>'Inputs by customer type'!N56</f>
        <v>30747.198</v>
      </c>
      <c r="O91" s="168">
        <f>'Inputs by customer type'!O56</f>
        <v>2099.2820000000002</v>
      </c>
      <c r="P91" s="168">
        <f>'Inputs by customer type'!P56</f>
        <v>30634.602999999999</v>
      </c>
      <c r="Q91" s="116"/>
      <c r="R91" s="116"/>
      <c r="S91" s="116"/>
      <c r="T91" s="116"/>
      <c r="U91" s="116"/>
      <c r="V91" s="116"/>
      <c r="W91" s="116"/>
      <c r="X91" s="116"/>
      <c r="Y91" s="116"/>
      <c r="AQ91" s="3"/>
    </row>
    <row r="92" spans="3:43" x14ac:dyDescent="0.25">
      <c r="AQ92" s="3"/>
    </row>
    <row r="93" spans="3:43" x14ac:dyDescent="0.25">
      <c r="C93" s="71"/>
      <c r="E93" s="60" t="s">
        <v>938</v>
      </c>
      <c r="G93" s="46"/>
      <c r="I93" t="s">
        <v>154</v>
      </c>
      <c r="AQ93" s="3"/>
    </row>
    <row r="94" spans="3:43" x14ac:dyDescent="0.25">
      <c r="C94" s="71"/>
      <c r="E94" s="60"/>
      <c r="F94" s="111" t="s">
        <v>247</v>
      </c>
      <c r="G94" s="111" t="s">
        <v>207</v>
      </c>
      <c r="H94" s="90"/>
      <c r="I94" s="90"/>
      <c r="J94" s="112"/>
      <c r="K94" s="112"/>
      <c r="L94" s="167">
        <f>'Inputs by customer type'!L59</f>
        <v>108952.04705330744</v>
      </c>
      <c r="M94" s="112"/>
      <c r="N94" s="167">
        <f>'Inputs by customer type'!N59</f>
        <v>90467.623231445323</v>
      </c>
      <c r="O94" s="167">
        <f>'Inputs by customer type'!O59</f>
        <v>21789.431072527386</v>
      </c>
      <c r="P94" s="167">
        <f>'Inputs by customer type'!P59</f>
        <v>165384.58107252733</v>
      </c>
      <c r="Q94" s="112"/>
      <c r="R94" s="112"/>
      <c r="S94" s="112"/>
      <c r="T94" s="112"/>
      <c r="U94" s="112"/>
      <c r="V94" s="112"/>
      <c r="W94" s="112"/>
      <c r="X94" s="112"/>
      <c r="Y94" s="112"/>
      <c r="AQ94" s="3"/>
    </row>
    <row r="95" spans="3:43" x14ac:dyDescent="0.25">
      <c r="E95" s="60"/>
      <c r="F95" s="113" t="s">
        <v>248</v>
      </c>
      <c r="G95" s="113" t="s">
        <v>207</v>
      </c>
      <c r="J95" s="121"/>
      <c r="K95" s="121"/>
      <c r="L95" s="190">
        <f>'Inputs by customer type'!L60</f>
        <v>565261.04346825485</v>
      </c>
      <c r="M95" s="121"/>
      <c r="N95" s="190">
        <f>'Inputs by customer type'!N60</f>
        <v>447579.0337871146</v>
      </c>
      <c r="O95" s="190">
        <f>'Inputs by customer type'!O60</f>
        <v>102267.59954124269</v>
      </c>
      <c r="P95" s="190">
        <f>'Inputs by customer type'!P60</f>
        <v>763065.83040227892</v>
      </c>
      <c r="Q95" s="121"/>
      <c r="R95" s="121"/>
      <c r="S95" s="121"/>
      <c r="T95" s="121"/>
      <c r="U95" s="121"/>
      <c r="V95" s="121"/>
      <c r="W95" s="121"/>
      <c r="X95" s="121"/>
      <c r="Y95" s="121"/>
      <c r="AQ95" s="3"/>
    </row>
    <row r="96" spans="3:43" x14ac:dyDescent="0.25">
      <c r="E96" s="60"/>
      <c r="F96" s="113" t="s">
        <v>249</v>
      </c>
      <c r="G96" s="113" t="s">
        <v>207</v>
      </c>
      <c r="J96" s="121"/>
      <c r="K96" s="121"/>
      <c r="L96" s="190">
        <f>'Inputs by customer type'!L61</f>
        <v>467477.62104397325</v>
      </c>
      <c r="M96" s="121"/>
      <c r="N96" s="190">
        <f>'Inputs by customer type'!N61</f>
        <v>401012.17632340727</v>
      </c>
      <c r="O96" s="190">
        <f>'Inputs by customer type'!O61</f>
        <v>103599.48218986468</v>
      </c>
      <c r="P96" s="190">
        <f>'Inputs by customer type'!P61</f>
        <v>886837.84395632148</v>
      </c>
      <c r="Q96" s="121"/>
      <c r="R96" s="121"/>
      <c r="S96" s="121"/>
      <c r="T96" s="121"/>
      <c r="U96" s="121"/>
      <c r="V96" s="121"/>
      <c r="W96" s="121"/>
      <c r="X96" s="121"/>
      <c r="Y96" s="121"/>
      <c r="AQ96" s="3"/>
    </row>
    <row r="97" spans="3:43" x14ac:dyDescent="0.25">
      <c r="E97" s="60"/>
      <c r="F97" s="113" t="s">
        <v>212</v>
      </c>
      <c r="G97" s="113" t="s">
        <v>212</v>
      </c>
      <c r="J97" s="121"/>
      <c r="K97" s="121"/>
      <c r="L97" s="190">
        <f>'Inputs by customer type'!L62</f>
        <v>21920</v>
      </c>
      <c r="M97" s="121"/>
      <c r="N97" s="190">
        <f>'Inputs by customer type'!N62</f>
        <v>1582</v>
      </c>
      <c r="O97" s="190">
        <f>'Inputs by customer type'!O62</f>
        <v>208</v>
      </c>
      <c r="P97" s="190">
        <f>'Inputs by customer type'!P62</f>
        <v>205</v>
      </c>
      <c r="Q97" s="121"/>
      <c r="R97" s="121"/>
      <c r="S97" s="121"/>
      <c r="T97" s="121"/>
      <c r="U97" s="121"/>
      <c r="V97" s="121"/>
      <c r="W97" s="121"/>
      <c r="X97" s="121"/>
      <c r="Y97" s="121"/>
      <c r="AQ97" s="3"/>
    </row>
    <row r="98" spans="3:43" x14ac:dyDescent="0.25">
      <c r="E98" s="60"/>
      <c r="F98" s="113" t="s">
        <v>250</v>
      </c>
      <c r="G98" s="113" t="s">
        <v>251</v>
      </c>
      <c r="J98" s="121"/>
      <c r="K98" s="121"/>
      <c r="L98" s="190">
        <f>'Inputs by customer type'!L63</f>
        <v>0</v>
      </c>
      <c r="M98" s="121"/>
      <c r="N98" s="190">
        <f>'Inputs by customer type'!N63</f>
        <v>618955</v>
      </c>
      <c r="O98" s="190">
        <f>'Inputs by customer type'!O63</f>
        <v>98526</v>
      </c>
      <c r="P98" s="190">
        <f>'Inputs by customer type'!P63</f>
        <v>708459</v>
      </c>
      <c r="Q98" s="121"/>
      <c r="R98" s="121"/>
      <c r="S98" s="121"/>
      <c r="T98" s="121"/>
      <c r="U98" s="121"/>
      <c r="V98" s="121"/>
      <c r="W98" s="121"/>
      <c r="X98" s="121"/>
      <c r="Y98" s="121"/>
      <c r="AQ98" s="3"/>
    </row>
    <row r="99" spans="3:43" x14ac:dyDescent="0.25">
      <c r="E99" s="60"/>
      <c r="F99" s="113" t="s">
        <v>252</v>
      </c>
      <c r="G99" s="113" t="s">
        <v>251</v>
      </c>
      <c r="J99" s="121"/>
      <c r="K99" s="121"/>
      <c r="L99" s="190">
        <f>'Inputs by customer type'!L64</f>
        <v>0</v>
      </c>
      <c r="M99" s="121"/>
      <c r="N99" s="190">
        <f>'Inputs by customer type'!N64</f>
        <v>1702.5833333333335</v>
      </c>
      <c r="O99" s="190">
        <f>'Inputs by customer type'!O64</f>
        <v>348.83333333333331</v>
      </c>
      <c r="P99" s="190">
        <f>'Inputs by customer type'!P64</f>
        <v>3677.916666666667</v>
      </c>
      <c r="Q99" s="121"/>
      <c r="R99" s="121"/>
      <c r="S99" s="121"/>
      <c r="T99" s="121"/>
      <c r="U99" s="121"/>
      <c r="V99" s="121"/>
      <c r="W99" s="121"/>
      <c r="X99" s="121"/>
      <c r="Y99" s="121"/>
      <c r="AQ99" s="3"/>
    </row>
    <row r="100" spans="3:43" x14ac:dyDescent="0.25">
      <c r="E100" s="60"/>
      <c r="F100" s="115" t="s">
        <v>253</v>
      </c>
      <c r="G100" s="115" t="s">
        <v>254</v>
      </c>
      <c r="H100" s="91"/>
      <c r="I100" s="91"/>
      <c r="J100" s="116"/>
      <c r="K100" s="116"/>
      <c r="L100" s="168">
        <f>'Inputs by customer type'!L65</f>
        <v>0</v>
      </c>
      <c r="M100" s="116"/>
      <c r="N100" s="168">
        <f>'Inputs by customer type'!N65</f>
        <v>80417.395999999993</v>
      </c>
      <c r="O100" s="168">
        <f>'Inputs by customer type'!O65</f>
        <v>17471.467000000001</v>
      </c>
      <c r="P100" s="168">
        <f>'Inputs by customer type'!P65</f>
        <v>131681.10200000001</v>
      </c>
      <c r="Q100" s="116"/>
      <c r="R100" s="116"/>
      <c r="S100" s="116"/>
      <c r="T100" s="116"/>
      <c r="U100" s="116"/>
      <c r="V100" s="116"/>
      <c r="W100" s="116"/>
      <c r="X100" s="116"/>
      <c r="Y100" s="116"/>
      <c r="AQ100" s="3"/>
    </row>
    <row r="101" spans="3:43" x14ac:dyDescent="0.25">
      <c r="AQ101" s="3"/>
    </row>
    <row r="102" spans="3:43" x14ac:dyDescent="0.25">
      <c r="C102" s="71"/>
      <c r="D102" s="71" t="s">
        <v>951</v>
      </c>
      <c r="AQ102" s="3"/>
    </row>
    <row r="103" spans="3:43" x14ac:dyDescent="0.25">
      <c r="AQ103" s="3"/>
    </row>
    <row r="104" spans="3:43" x14ac:dyDescent="0.25">
      <c r="E104" s="60" t="s">
        <v>902</v>
      </c>
      <c r="G104" s="46"/>
      <c r="I104" t="s">
        <v>154</v>
      </c>
      <c r="AQ104" s="3"/>
    </row>
    <row r="105" spans="3:43" x14ac:dyDescent="0.25">
      <c r="E105" s="60"/>
      <c r="F105" s="111" t="s">
        <v>247</v>
      </c>
      <c r="G105" s="111" t="s">
        <v>207</v>
      </c>
      <c r="H105" s="90"/>
      <c r="I105" s="90"/>
      <c r="J105" s="112"/>
      <c r="K105" s="167">
        <f>'Inputs by customer type'!K70</f>
        <v>1.5478688524590165</v>
      </c>
      <c r="L105" s="167">
        <f>'Inputs by customer type'!L70</f>
        <v>0</v>
      </c>
      <c r="M105" s="167">
        <f>'Inputs by customer type'!M70</f>
        <v>0</v>
      </c>
      <c r="N105" s="167">
        <f>'Inputs by customer type'!N70</f>
        <v>0</v>
      </c>
      <c r="O105" s="167">
        <f>'Inputs by customer type'!O70</f>
        <v>0</v>
      </c>
      <c r="P105" s="167">
        <f>'Inputs by customer type'!P70</f>
        <v>0</v>
      </c>
      <c r="Q105" s="112"/>
      <c r="R105" s="167">
        <f>'Inputs by customer type'!R70</f>
        <v>615.75443298228117</v>
      </c>
      <c r="S105" s="112"/>
      <c r="T105" s="167">
        <f>'Inputs by customer type'!T70</f>
        <v>0</v>
      </c>
      <c r="U105" s="112"/>
      <c r="V105" s="112"/>
      <c r="W105" s="112"/>
      <c r="X105" s="112"/>
      <c r="Y105" s="112"/>
      <c r="AQ105" s="3"/>
    </row>
    <row r="106" spans="3:43" x14ac:dyDescent="0.25">
      <c r="E106" s="60"/>
      <c r="F106" s="113" t="s">
        <v>248</v>
      </c>
      <c r="G106" s="113" t="s">
        <v>207</v>
      </c>
      <c r="J106" s="121"/>
      <c r="K106" s="190">
        <f>'Inputs by customer type'!K71</f>
        <v>27.072885245901642</v>
      </c>
      <c r="L106" s="190">
        <f>'Inputs by customer type'!L71</f>
        <v>0</v>
      </c>
      <c r="M106" s="190">
        <f>'Inputs by customer type'!M71</f>
        <v>0</v>
      </c>
      <c r="N106" s="190">
        <f>'Inputs by customer type'!N71</f>
        <v>0</v>
      </c>
      <c r="O106" s="190">
        <f>'Inputs by customer type'!O71</f>
        <v>0</v>
      </c>
      <c r="P106" s="190">
        <f>'Inputs by customer type'!P71</f>
        <v>0</v>
      </c>
      <c r="Q106" s="121"/>
      <c r="R106" s="190">
        <f>'Inputs by customer type'!R71</f>
        <v>3480.0674308284702</v>
      </c>
      <c r="S106" s="121"/>
      <c r="T106" s="190">
        <f>'Inputs by customer type'!T71</f>
        <v>0</v>
      </c>
      <c r="U106" s="121"/>
      <c r="V106" s="121"/>
      <c r="W106" s="121"/>
      <c r="X106" s="121"/>
      <c r="Y106" s="121"/>
      <c r="AQ106" s="3"/>
    </row>
    <row r="107" spans="3:43" x14ac:dyDescent="0.25">
      <c r="E107" s="60"/>
      <c r="F107" s="113" t="s">
        <v>249</v>
      </c>
      <c r="G107" s="113" t="s">
        <v>207</v>
      </c>
      <c r="J107" s="121"/>
      <c r="K107" s="190">
        <f>'Inputs by customer type'!K72</f>
        <v>137.73013114754099</v>
      </c>
      <c r="L107" s="190">
        <f>'Inputs by customer type'!L72</f>
        <v>0</v>
      </c>
      <c r="M107" s="190">
        <f>'Inputs by customer type'!M72</f>
        <v>0</v>
      </c>
      <c r="N107" s="190">
        <f>'Inputs by customer type'!N72</f>
        <v>0</v>
      </c>
      <c r="O107" s="190">
        <f>'Inputs by customer type'!O72</f>
        <v>0</v>
      </c>
      <c r="P107" s="190">
        <f>'Inputs by customer type'!P72</f>
        <v>0</v>
      </c>
      <c r="Q107" s="121"/>
      <c r="R107" s="190">
        <f>'Inputs by customer type'!R72</f>
        <v>1554.6667235714485</v>
      </c>
      <c r="S107" s="121"/>
      <c r="T107" s="190">
        <f>'Inputs by customer type'!T72</f>
        <v>0</v>
      </c>
      <c r="U107" s="121"/>
      <c r="V107" s="121"/>
      <c r="W107" s="121"/>
      <c r="X107" s="121"/>
      <c r="Y107" s="121"/>
      <c r="AQ107" s="3"/>
    </row>
    <row r="108" spans="3:43" x14ac:dyDescent="0.25">
      <c r="E108" s="60"/>
      <c r="F108" s="113" t="s">
        <v>212</v>
      </c>
      <c r="G108" s="113" t="s">
        <v>212</v>
      </c>
      <c r="J108" s="121"/>
      <c r="K108" s="190">
        <f>'Inputs by customer type'!K73</f>
        <v>60</v>
      </c>
      <c r="L108" s="190">
        <f>'Inputs by customer type'!L73</f>
        <v>0</v>
      </c>
      <c r="M108" s="190">
        <f>'Inputs by customer type'!M73</f>
        <v>0</v>
      </c>
      <c r="N108" s="190">
        <f>'Inputs by customer type'!N73</f>
        <v>0</v>
      </c>
      <c r="O108" s="190">
        <f>'Inputs by customer type'!O73</f>
        <v>0</v>
      </c>
      <c r="P108" s="190">
        <f>'Inputs by customer type'!P73</f>
        <v>0</v>
      </c>
      <c r="Q108" s="121"/>
      <c r="R108" s="190">
        <f>'Inputs by customer type'!R73</f>
        <v>279</v>
      </c>
      <c r="S108" s="121"/>
      <c r="T108" s="190">
        <f>'Inputs by customer type'!T73</f>
        <v>0</v>
      </c>
      <c r="U108" s="121"/>
      <c r="V108" s="121"/>
      <c r="W108" s="121"/>
      <c r="X108" s="121"/>
      <c r="Y108" s="121"/>
      <c r="AQ108" s="3"/>
    </row>
    <row r="109" spans="3:43" x14ac:dyDescent="0.25">
      <c r="E109" s="60"/>
      <c r="F109" s="113" t="s">
        <v>250</v>
      </c>
      <c r="G109" s="113" t="s">
        <v>251</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252</v>
      </c>
      <c r="G110" s="113" t="s">
        <v>251</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253</v>
      </c>
      <c r="G111" s="115" t="s">
        <v>254</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939</v>
      </c>
      <c r="G113" s="46"/>
      <c r="I113" t="s">
        <v>154</v>
      </c>
      <c r="AQ113" s="3"/>
    </row>
    <row r="114" spans="5:43" x14ac:dyDescent="0.25">
      <c r="E114" s="60"/>
      <c r="F114" s="111" t="s">
        <v>247</v>
      </c>
      <c r="G114" s="111" t="s">
        <v>207</v>
      </c>
      <c r="H114" s="90"/>
      <c r="I114" s="90"/>
      <c r="J114" s="167">
        <f>'Inputs by customer type'!J79</f>
        <v>20800.944795377112</v>
      </c>
      <c r="K114" s="112"/>
      <c r="L114" s="167">
        <f>'Inputs by customer type'!L79</f>
        <v>171.93370777999971</v>
      </c>
      <c r="M114" s="112"/>
      <c r="N114" s="167">
        <f>'Inputs by customer type'!N79</f>
        <v>273.19500000000005</v>
      </c>
      <c r="O114" s="167">
        <f>'Inputs by customer type'!O79</f>
        <v>0</v>
      </c>
      <c r="P114" s="167">
        <f>'Inputs by customer type'!P79</f>
        <v>0</v>
      </c>
      <c r="Q114" s="167">
        <f>'Inputs by customer type'!Q79</f>
        <v>22.985167530544242</v>
      </c>
      <c r="R114" s="112"/>
      <c r="S114" s="112"/>
      <c r="T114" s="112"/>
      <c r="U114" s="112"/>
      <c r="V114" s="112"/>
      <c r="W114" s="112"/>
      <c r="X114" s="112"/>
      <c r="Y114" s="112"/>
      <c r="AQ114" s="3"/>
    </row>
    <row r="115" spans="5:43" x14ac:dyDescent="0.25">
      <c r="E115" s="60"/>
      <c r="F115" s="113" t="s">
        <v>248</v>
      </c>
      <c r="G115" s="113" t="s">
        <v>207</v>
      </c>
      <c r="J115" s="190">
        <f>'Inputs by customer type'!J80</f>
        <v>76551.123397066825</v>
      </c>
      <c r="K115" s="121"/>
      <c r="L115" s="190">
        <f>'Inputs by customer type'!L80</f>
        <v>890.32175082953381</v>
      </c>
      <c r="M115" s="121"/>
      <c r="N115" s="190">
        <f>'Inputs by customer type'!N80</f>
        <v>1365.367</v>
      </c>
      <c r="O115" s="190">
        <f>'Inputs by customer type'!O80</f>
        <v>0</v>
      </c>
      <c r="P115" s="190">
        <f>'Inputs by customer type'!P80</f>
        <v>0</v>
      </c>
      <c r="Q115" s="190">
        <f>'Inputs by customer type'!Q80</f>
        <v>327.55783312906374</v>
      </c>
      <c r="R115" s="121"/>
      <c r="S115" s="121"/>
      <c r="T115" s="121"/>
      <c r="U115" s="121"/>
      <c r="V115" s="121"/>
      <c r="W115" s="121"/>
      <c r="X115" s="121"/>
      <c r="Y115" s="121"/>
      <c r="AQ115" s="3"/>
    </row>
    <row r="116" spans="5:43" x14ac:dyDescent="0.25">
      <c r="E116" s="60"/>
      <c r="F116" s="113" t="s">
        <v>249</v>
      </c>
      <c r="G116" s="113" t="s">
        <v>207</v>
      </c>
      <c r="J116" s="190">
        <f>'Inputs by customer type'!J81</f>
        <v>66125.185859945428</v>
      </c>
      <c r="K116" s="121"/>
      <c r="L116" s="190">
        <f>'Inputs by customer type'!L81</f>
        <v>695.67973786125947</v>
      </c>
      <c r="M116" s="121"/>
      <c r="N116" s="190">
        <f>'Inputs by customer type'!N81</f>
        <v>1972.5240000000003</v>
      </c>
      <c r="O116" s="190">
        <f>'Inputs by customer type'!O81</f>
        <v>0</v>
      </c>
      <c r="P116" s="190">
        <f>'Inputs by customer type'!P81</f>
        <v>0</v>
      </c>
      <c r="Q116" s="190">
        <f>'Inputs by customer type'!Q81</f>
        <v>357.92923139806027</v>
      </c>
      <c r="R116" s="121"/>
      <c r="S116" s="121"/>
      <c r="T116" s="121"/>
      <c r="U116" s="121"/>
      <c r="V116" s="121"/>
      <c r="W116" s="121"/>
      <c r="X116" s="121"/>
      <c r="Y116" s="121"/>
      <c r="AQ116" s="3"/>
    </row>
    <row r="117" spans="5:43" x14ac:dyDescent="0.25">
      <c r="E117" s="60"/>
      <c r="F117" s="113" t="s">
        <v>212</v>
      </c>
      <c r="G117" s="113" t="s">
        <v>212</v>
      </c>
      <c r="J117" s="190">
        <f>'Inputs by customer type'!J82</f>
        <v>59513</v>
      </c>
      <c r="K117" s="121"/>
      <c r="L117" s="190">
        <f>'Inputs by customer type'!L82</f>
        <v>687</v>
      </c>
      <c r="M117" s="121"/>
      <c r="N117" s="190">
        <f>'Inputs by customer type'!N82</f>
        <v>38</v>
      </c>
      <c r="O117" s="190">
        <f>'Inputs by customer type'!O82</f>
        <v>0</v>
      </c>
      <c r="P117" s="190">
        <f>'Inputs by customer type'!P82</f>
        <v>0</v>
      </c>
      <c r="Q117" s="190">
        <f>'Inputs by customer type'!Q82</f>
        <v>84</v>
      </c>
      <c r="R117" s="121"/>
      <c r="S117" s="121"/>
      <c r="T117" s="121"/>
      <c r="U117" s="121"/>
      <c r="V117" s="121"/>
      <c r="W117" s="121"/>
      <c r="X117" s="121"/>
      <c r="Y117" s="121"/>
      <c r="AQ117" s="3"/>
    </row>
    <row r="118" spans="5:43" x14ac:dyDescent="0.25">
      <c r="E118" s="60"/>
      <c r="F118" s="113" t="s">
        <v>250</v>
      </c>
      <c r="G118" s="113" t="s">
        <v>251</v>
      </c>
      <c r="J118" s="190">
        <f>'Inputs by customer type'!J83</f>
        <v>0</v>
      </c>
      <c r="K118" s="121"/>
      <c r="L118" s="190">
        <f>'Inputs by customer type'!L83</f>
        <v>0</v>
      </c>
      <c r="M118" s="121"/>
      <c r="N118" s="190">
        <f>'Inputs by customer type'!N83</f>
        <v>2089</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252</v>
      </c>
      <c r="G119" s="113" t="s">
        <v>251</v>
      </c>
      <c r="J119" s="190">
        <f>'Inputs by customer type'!J84</f>
        <v>0</v>
      </c>
      <c r="K119" s="121"/>
      <c r="L119" s="190">
        <f>'Inputs by customer type'!L84</f>
        <v>0</v>
      </c>
      <c r="M119" s="121"/>
      <c r="N119" s="190">
        <f>'Inputs by customer type'!N84</f>
        <v>1519</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253</v>
      </c>
      <c r="G120" s="115" t="s">
        <v>254</v>
      </c>
      <c r="H120" s="91"/>
      <c r="I120" s="91"/>
      <c r="J120" s="168">
        <f>'Inputs by customer type'!J85</f>
        <v>0</v>
      </c>
      <c r="K120" s="116"/>
      <c r="L120" s="168">
        <f>'Inputs by customer type'!L85</f>
        <v>0</v>
      </c>
      <c r="M120" s="116"/>
      <c r="N120" s="168">
        <f>'Inputs by customer type'!N85</f>
        <v>317.90800000000002</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940</v>
      </c>
      <c r="G122" s="46"/>
      <c r="I122" t="s">
        <v>154</v>
      </c>
      <c r="AQ122" s="3"/>
    </row>
    <row r="123" spans="5:43" x14ac:dyDescent="0.25">
      <c r="E123" s="60"/>
      <c r="F123" s="111" t="s">
        <v>247</v>
      </c>
      <c r="G123" s="111" t="s">
        <v>207</v>
      </c>
      <c r="H123" s="90"/>
      <c r="I123" s="90"/>
      <c r="J123" s="112"/>
      <c r="K123" s="112"/>
      <c r="L123" s="167">
        <f>'Inputs by customer type'!L88</f>
        <v>238.96571269020731</v>
      </c>
      <c r="M123" s="112"/>
      <c r="N123" s="167">
        <f>'Inputs by customer type'!N88</f>
        <v>526.68299999999999</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248</v>
      </c>
      <c r="G124" s="113" t="s">
        <v>207</v>
      </c>
      <c r="J124" s="121"/>
      <c r="K124" s="121"/>
      <c r="L124" s="190">
        <f>'Inputs by customer type'!L89</f>
        <v>1237.4936491473559</v>
      </c>
      <c r="M124" s="121"/>
      <c r="N124" s="190">
        <f>'Inputs by customer type'!N89</f>
        <v>2437.8400000000006</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249</v>
      </c>
      <c r="G125" s="113" t="s">
        <v>207</v>
      </c>
      <c r="J125" s="121"/>
      <c r="K125" s="121"/>
      <c r="L125" s="190">
        <f>'Inputs by customer type'!L90</f>
        <v>968.95806960186758</v>
      </c>
      <c r="M125" s="121"/>
      <c r="N125" s="190">
        <f>'Inputs by customer type'!N90</f>
        <v>1967.1180000000002</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212</v>
      </c>
      <c r="G126" s="113" t="s">
        <v>212</v>
      </c>
      <c r="J126" s="121"/>
      <c r="K126" s="121"/>
      <c r="L126" s="190">
        <f>'Inputs by customer type'!L91</f>
        <v>368</v>
      </c>
      <c r="M126" s="121"/>
      <c r="N126" s="190">
        <f>'Inputs by customer type'!N91</f>
        <v>47</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250</v>
      </c>
      <c r="G127" s="113" t="s">
        <v>251</v>
      </c>
      <c r="J127" s="121"/>
      <c r="K127" s="121"/>
      <c r="L127" s="190">
        <f>'Inputs by customer type'!L92</f>
        <v>0</v>
      </c>
      <c r="M127" s="121"/>
      <c r="N127" s="190">
        <f>'Inputs by customer type'!N92</f>
        <v>5053</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252</v>
      </c>
      <c r="G128" s="113" t="s">
        <v>251</v>
      </c>
      <c r="J128" s="121"/>
      <c r="K128" s="121"/>
      <c r="L128" s="190">
        <f>'Inputs by customer type'!L93</f>
        <v>0</v>
      </c>
      <c r="M128" s="121"/>
      <c r="N128" s="190">
        <f>'Inputs by customer type'!N93</f>
        <v>0</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253</v>
      </c>
      <c r="G129" s="115" t="s">
        <v>254</v>
      </c>
      <c r="H129" s="91"/>
      <c r="I129" s="91"/>
      <c r="J129" s="116"/>
      <c r="K129" s="116"/>
      <c r="L129" s="168">
        <f>'Inputs by customer type'!L94</f>
        <v>0</v>
      </c>
      <c r="M129" s="116"/>
      <c r="N129" s="168">
        <f>'Inputs by customer type'!N94</f>
        <v>610.47</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941</v>
      </c>
      <c r="G131" s="46"/>
      <c r="I131" t="s">
        <v>154</v>
      </c>
      <c r="AQ131" s="3"/>
    </row>
    <row r="132" spans="5:43" x14ac:dyDescent="0.25">
      <c r="E132" s="60"/>
      <c r="F132" s="111" t="s">
        <v>247</v>
      </c>
      <c r="G132" s="111" t="s">
        <v>207</v>
      </c>
      <c r="H132" s="90"/>
      <c r="I132" s="90"/>
      <c r="J132" s="112"/>
      <c r="K132" s="112"/>
      <c r="L132" s="167">
        <f>'Inputs by customer type'!L97</f>
        <v>158.34764941383807</v>
      </c>
      <c r="M132" s="112"/>
      <c r="N132" s="167">
        <f>'Inputs by customer type'!N97</f>
        <v>1094.922</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248</v>
      </c>
      <c r="G133" s="113" t="s">
        <v>207</v>
      </c>
      <c r="J133" s="121"/>
      <c r="K133" s="121"/>
      <c r="L133" s="190">
        <f>'Inputs by customer type'!L98</f>
        <v>824.82480682068524</v>
      </c>
      <c r="M133" s="121"/>
      <c r="N133" s="190">
        <f>'Inputs by customer type'!N98</f>
        <v>4787.7110000000002</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249</v>
      </c>
      <c r="G134" s="113" t="s">
        <v>207</v>
      </c>
      <c r="J134" s="121"/>
      <c r="K134" s="121"/>
      <c r="L134" s="190">
        <f>'Inputs by customer type'!L99</f>
        <v>652.901635084708</v>
      </c>
      <c r="M134" s="121"/>
      <c r="N134" s="190">
        <f>'Inputs by customer type'!N99</f>
        <v>4540.0029999999997</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212</v>
      </c>
      <c r="G135" s="113" t="s">
        <v>212</v>
      </c>
      <c r="J135" s="121"/>
      <c r="K135" s="121"/>
      <c r="L135" s="190">
        <f>'Inputs by customer type'!L100</f>
        <v>166</v>
      </c>
      <c r="M135" s="121"/>
      <c r="N135" s="190">
        <f>'Inputs by customer type'!N100</f>
        <v>44</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250</v>
      </c>
      <c r="G136" s="113" t="s">
        <v>251</v>
      </c>
      <c r="J136" s="121"/>
      <c r="K136" s="121"/>
      <c r="L136" s="190">
        <f>'Inputs by customer type'!L101</f>
        <v>0</v>
      </c>
      <c r="M136" s="121"/>
      <c r="N136" s="190">
        <f>'Inputs by customer type'!N101</f>
        <v>8135</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252</v>
      </c>
      <c r="G137" s="113" t="s">
        <v>251</v>
      </c>
      <c r="J137" s="121"/>
      <c r="K137" s="121"/>
      <c r="L137" s="190">
        <f>'Inputs by customer type'!L102</f>
        <v>0</v>
      </c>
      <c r="M137" s="121"/>
      <c r="N137" s="190">
        <f>'Inputs by customer type'!N102</f>
        <v>0</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253</v>
      </c>
      <c r="G138" s="115" t="s">
        <v>254</v>
      </c>
      <c r="H138" s="91"/>
      <c r="I138" s="91"/>
      <c r="J138" s="116"/>
      <c r="K138" s="116"/>
      <c r="L138" s="168">
        <f>'Inputs by customer type'!L103</f>
        <v>0</v>
      </c>
      <c r="M138" s="116"/>
      <c r="N138" s="168">
        <f>'Inputs by customer type'!N103</f>
        <v>593.77800000000002</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942</v>
      </c>
      <c r="G140" s="46"/>
      <c r="I140" t="s">
        <v>154</v>
      </c>
      <c r="AQ140" s="3"/>
    </row>
    <row r="141" spans="5:43" x14ac:dyDescent="0.25">
      <c r="E141" s="60"/>
      <c r="F141" s="111" t="s">
        <v>247</v>
      </c>
      <c r="G141" s="111" t="s">
        <v>207</v>
      </c>
      <c r="H141" s="90"/>
      <c r="I141" s="90"/>
      <c r="J141" s="112"/>
      <c r="K141" s="112"/>
      <c r="L141" s="167">
        <f>'Inputs by customer type'!L106</f>
        <v>257.98268154216731</v>
      </c>
      <c r="M141" s="112"/>
      <c r="N141" s="167">
        <f>'Inputs by customer type'!N106</f>
        <v>338.16999999999996</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248</v>
      </c>
      <c r="G142" s="113" t="s">
        <v>207</v>
      </c>
      <c r="J142" s="121"/>
      <c r="K142" s="121"/>
      <c r="L142" s="190">
        <f>'Inputs by customer type'!L107</f>
        <v>1331.4089514678299</v>
      </c>
      <c r="M142" s="121"/>
      <c r="N142" s="190">
        <f>'Inputs by customer type'!N107</f>
        <v>1509.8209999999999</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249</v>
      </c>
      <c r="G143" s="113" t="s">
        <v>207</v>
      </c>
      <c r="J143" s="121"/>
      <c r="K143" s="121"/>
      <c r="L143" s="190">
        <f>'Inputs by customer type'!L108</f>
        <v>1049.2257584326837</v>
      </c>
      <c r="M143" s="121"/>
      <c r="N143" s="190">
        <f>'Inputs by customer type'!N108</f>
        <v>1369.2670000000001</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212</v>
      </c>
      <c r="G144" s="113" t="s">
        <v>212</v>
      </c>
      <c r="J144" s="121"/>
      <c r="K144" s="121"/>
      <c r="L144" s="190">
        <f>'Inputs by customer type'!L109</f>
        <v>107</v>
      </c>
      <c r="M144" s="121"/>
      <c r="N144" s="190">
        <f>'Inputs by customer type'!N109</f>
        <v>17</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250</v>
      </c>
      <c r="G145" s="113" t="s">
        <v>251</v>
      </c>
      <c r="J145" s="121"/>
      <c r="K145" s="121"/>
      <c r="L145" s="190">
        <f>'Inputs by customer type'!L110</f>
        <v>0</v>
      </c>
      <c r="M145" s="121"/>
      <c r="N145" s="190">
        <f>'Inputs by customer type'!N110</f>
        <v>7497</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252</v>
      </c>
      <c r="G146" s="113" t="s">
        <v>251</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253</v>
      </c>
      <c r="G147" s="115" t="s">
        <v>254</v>
      </c>
      <c r="H147" s="91"/>
      <c r="I147" s="91"/>
      <c r="J147" s="116"/>
      <c r="K147" s="116"/>
      <c r="L147" s="168">
        <f>'Inputs by customer type'!L112</f>
        <v>0</v>
      </c>
      <c r="M147" s="116"/>
      <c r="N147" s="168">
        <f>'Inputs by customer type'!N112</f>
        <v>194.316</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952</v>
      </c>
      <c r="AQ149" s="3"/>
    </row>
    <row r="150" spans="3:43" x14ac:dyDescent="0.25">
      <c r="AQ150" s="3"/>
    </row>
    <row r="151" spans="3:43" x14ac:dyDescent="0.25">
      <c r="E151" s="60" t="s">
        <v>903</v>
      </c>
      <c r="G151" s="46"/>
      <c r="I151" t="s">
        <v>154</v>
      </c>
      <c r="AQ151" s="3"/>
    </row>
    <row r="152" spans="3:43" x14ac:dyDescent="0.25">
      <c r="E152" s="60"/>
      <c r="F152" s="111" t="s">
        <v>247</v>
      </c>
      <c r="G152" s="111" t="s">
        <v>207</v>
      </c>
      <c r="H152" s="90"/>
      <c r="I152" s="90"/>
      <c r="J152" s="112"/>
      <c r="K152" s="167">
        <f>'Inputs by customer type'!K117</f>
        <v>0</v>
      </c>
      <c r="L152" s="167">
        <f>'Inputs by customer type'!L117</f>
        <v>0</v>
      </c>
      <c r="M152" s="167">
        <f>'Inputs by customer type'!M117</f>
        <v>0</v>
      </c>
      <c r="N152" s="167">
        <f>'Inputs by customer type'!N117</f>
        <v>0</v>
      </c>
      <c r="O152" s="167">
        <f>'Inputs by customer type'!O117</f>
        <v>0</v>
      </c>
      <c r="P152" s="167">
        <f>'Inputs by customer type'!P117</f>
        <v>0</v>
      </c>
      <c r="Q152" s="112"/>
      <c r="R152" s="167">
        <f>'Inputs by customer type'!R117</f>
        <v>4185.4514724520768</v>
      </c>
      <c r="S152" s="167">
        <f>'Inputs by customer type'!S117</f>
        <v>0</v>
      </c>
      <c r="T152" s="167">
        <f>'Inputs by customer type'!T117</f>
        <v>4.4000000000000011E-2</v>
      </c>
      <c r="U152" s="167">
        <f>'Inputs by customer type'!U117</f>
        <v>0</v>
      </c>
      <c r="V152" s="167">
        <f>'Inputs by customer type'!V117</f>
        <v>0</v>
      </c>
      <c r="W152" s="167">
        <f>'Inputs by customer type'!W117</f>
        <v>0</v>
      </c>
      <c r="X152" s="167">
        <f>'Inputs by customer type'!X117</f>
        <v>0</v>
      </c>
      <c r="Y152" s="167">
        <f>'Inputs by customer type'!Y117</f>
        <v>0</v>
      </c>
      <c r="AQ152" s="3"/>
    </row>
    <row r="153" spans="3:43" x14ac:dyDescent="0.25">
      <c r="E153" s="60"/>
      <c r="F153" s="113" t="s">
        <v>248</v>
      </c>
      <c r="G153" s="113" t="s">
        <v>207</v>
      </c>
      <c r="J153" s="121"/>
      <c r="K153" s="190">
        <f>'Inputs by customer type'!K118</f>
        <v>14.669999999999998</v>
      </c>
      <c r="L153" s="190">
        <f>'Inputs by customer type'!L118</f>
        <v>0</v>
      </c>
      <c r="M153" s="190">
        <f>'Inputs by customer type'!M118</f>
        <v>0</v>
      </c>
      <c r="N153" s="190">
        <f>'Inputs by customer type'!N118</f>
        <v>0</v>
      </c>
      <c r="O153" s="190">
        <f>'Inputs by customer type'!O118</f>
        <v>0</v>
      </c>
      <c r="P153" s="190">
        <f>'Inputs by customer type'!P118</f>
        <v>0</v>
      </c>
      <c r="Q153" s="121"/>
      <c r="R153" s="190">
        <f>'Inputs by customer type'!R118</f>
        <v>22119.511332572329</v>
      </c>
      <c r="S153" s="190">
        <f>'Inputs by customer type'!S118</f>
        <v>0</v>
      </c>
      <c r="T153" s="190">
        <f>'Inputs by customer type'!T118</f>
        <v>0.47600000000000015</v>
      </c>
      <c r="U153" s="190">
        <f>'Inputs by customer type'!U118</f>
        <v>0</v>
      </c>
      <c r="V153" s="190">
        <f>'Inputs by customer type'!V118</f>
        <v>0</v>
      </c>
      <c r="W153" s="190">
        <f>'Inputs by customer type'!W118</f>
        <v>0</v>
      </c>
      <c r="X153" s="190">
        <f>'Inputs by customer type'!X118</f>
        <v>0</v>
      </c>
      <c r="Y153" s="190">
        <f>'Inputs by customer type'!Y118</f>
        <v>0</v>
      </c>
      <c r="AQ153" s="3"/>
    </row>
    <row r="154" spans="3:43" x14ac:dyDescent="0.25">
      <c r="E154" s="60"/>
      <c r="F154" s="113" t="s">
        <v>249</v>
      </c>
      <c r="G154" s="113" t="s">
        <v>207</v>
      </c>
      <c r="J154" s="121"/>
      <c r="K154" s="190">
        <f>'Inputs by customer type'!K119</f>
        <v>260.36899999999997</v>
      </c>
      <c r="L154" s="190">
        <f>'Inputs by customer type'!L119</f>
        <v>0</v>
      </c>
      <c r="M154" s="190">
        <f>'Inputs by customer type'!M119</f>
        <v>0</v>
      </c>
      <c r="N154" s="190">
        <f>'Inputs by customer type'!N119</f>
        <v>0</v>
      </c>
      <c r="O154" s="190">
        <f>'Inputs by customer type'!O119</f>
        <v>0</v>
      </c>
      <c r="P154" s="190">
        <f>'Inputs by customer type'!P119</f>
        <v>0</v>
      </c>
      <c r="Q154" s="121"/>
      <c r="R154" s="190">
        <f>'Inputs by customer type'!R119</f>
        <v>9947.1981126761348</v>
      </c>
      <c r="S154" s="190">
        <f>'Inputs by customer type'!S119</f>
        <v>0</v>
      </c>
      <c r="T154" s="190">
        <f>'Inputs by customer type'!T119</f>
        <v>1.202</v>
      </c>
      <c r="U154" s="190">
        <f>'Inputs by customer type'!U119</f>
        <v>0</v>
      </c>
      <c r="V154" s="190">
        <f>'Inputs by customer type'!V119</f>
        <v>0</v>
      </c>
      <c r="W154" s="190">
        <f>'Inputs by customer type'!W119</f>
        <v>0</v>
      </c>
      <c r="X154" s="190">
        <f>'Inputs by customer type'!X119</f>
        <v>0</v>
      </c>
      <c r="Y154" s="190">
        <f>'Inputs by customer type'!Y119</f>
        <v>0</v>
      </c>
      <c r="AQ154" s="3"/>
    </row>
    <row r="155" spans="3:43" x14ac:dyDescent="0.25">
      <c r="E155" s="60"/>
      <c r="F155" s="113" t="s">
        <v>212</v>
      </c>
      <c r="G155" s="113" t="s">
        <v>212</v>
      </c>
      <c r="J155" s="121"/>
      <c r="K155" s="190">
        <f>'Inputs by customer type'!K120</f>
        <v>70</v>
      </c>
      <c r="L155" s="190">
        <f>'Inputs by customer type'!L120</f>
        <v>0</v>
      </c>
      <c r="M155" s="190">
        <f>'Inputs by customer type'!M120</f>
        <v>0</v>
      </c>
      <c r="N155" s="190">
        <f>'Inputs by customer type'!N120</f>
        <v>0</v>
      </c>
      <c r="O155" s="190">
        <f>'Inputs by customer type'!O120</f>
        <v>0</v>
      </c>
      <c r="P155" s="190">
        <f>'Inputs by customer type'!P120</f>
        <v>0</v>
      </c>
      <c r="Q155" s="121"/>
      <c r="R155" s="190">
        <f>'Inputs by customer type'!R120</f>
        <v>1872</v>
      </c>
      <c r="S155" s="190">
        <f>'Inputs by customer type'!S120</f>
        <v>0</v>
      </c>
      <c r="T155" s="190">
        <f>'Inputs by customer type'!T120</f>
        <v>1</v>
      </c>
      <c r="U155" s="190">
        <f>'Inputs by customer type'!U120</f>
        <v>0</v>
      </c>
      <c r="V155" s="190">
        <f>'Inputs by customer type'!V120</f>
        <v>0</v>
      </c>
      <c r="W155" s="190">
        <f>'Inputs by customer type'!W120</f>
        <v>0</v>
      </c>
      <c r="X155" s="190">
        <f>'Inputs by customer type'!X120</f>
        <v>0</v>
      </c>
      <c r="Y155" s="190">
        <f>'Inputs by customer type'!Y120</f>
        <v>0</v>
      </c>
      <c r="AQ155" s="3"/>
    </row>
    <row r="156" spans="3:43" x14ac:dyDescent="0.25">
      <c r="E156" s="60"/>
      <c r="F156" s="113" t="s">
        <v>250</v>
      </c>
      <c r="G156" s="113" t="s">
        <v>251</v>
      </c>
      <c r="J156" s="121"/>
      <c r="K156" s="190">
        <f>'Inputs by customer type'!K121</f>
        <v>0</v>
      </c>
      <c r="L156" s="190">
        <f>'Inputs by customer type'!L121</f>
        <v>0</v>
      </c>
      <c r="M156" s="190">
        <f>'Inputs by customer type'!M121</f>
        <v>0</v>
      </c>
      <c r="N156" s="190">
        <f>'Inputs by customer type'!N121</f>
        <v>0</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252</v>
      </c>
      <c r="G157" s="113" t="s">
        <v>251</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253</v>
      </c>
      <c r="G158" s="115" t="s">
        <v>254</v>
      </c>
      <c r="H158" s="91"/>
      <c r="I158" s="91"/>
      <c r="J158" s="116"/>
      <c r="K158" s="168">
        <f>'Inputs by customer type'!K123</f>
        <v>0</v>
      </c>
      <c r="L158" s="168">
        <f>'Inputs by customer type'!L123</f>
        <v>0</v>
      </c>
      <c r="M158" s="168">
        <f>'Inputs by customer type'!M123</f>
        <v>0</v>
      </c>
      <c r="N158" s="168">
        <f>'Inputs by customer type'!N123</f>
        <v>0</v>
      </c>
      <c r="O158" s="168">
        <f>'Inputs by customer type'!O123</f>
        <v>0</v>
      </c>
      <c r="P158" s="168">
        <f>'Inputs by customer type'!P123</f>
        <v>0</v>
      </c>
      <c r="Q158" s="116"/>
      <c r="R158" s="168">
        <f>'Inputs by customer type'!R123</f>
        <v>0</v>
      </c>
      <c r="S158" s="168">
        <f>'Inputs by customer type'!S123</f>
        <v>0</v>
      </c>
      <c r="T158" s="168">
        <f>'Inputs by customer type'!T123</f>
        <v>0.41199999999999992</v>
      </c>
      <c r="U158" s="168">
        <f>'Inputs by customer type'!U123</f>
        <v>0</v>
      </c>
      <c r="V158" s="168">
        <f>'Inputs by customer type'!V123</f>
        <v>0</v>
      </c>
      <c r="W158" s="168">
        <f>'Inputs by customer type'!W123</f>
        <v>0</v>
      </c>
      <c r="X158" s="168">
        <f>'Inputs by customer type'!X123</f>
        <v>0</v>
      </c>
      <c r="Y158" s="168">
        <f>'Inputs by customer type'!Y123</f>
        <v>0</v>
      </c>
      <c r="AQ158" s="3"/>
    </row>
    <row r="159" spans="3:43" x14ac:dyDescent="0.25">
      <c r="AQ159" s="3"/>
    </row>
    <row r="160" spans="3:43" x14ac:dyDescent="0.25">
      <c r="E160" s="60" t="s">
        <v>943</v>
      </c>
      <c r="G160" s="46"/>
      <c r="I160" t="s">
        <v>154</v>
      </c>
      <c r="AQ160" s="3"/>
    </row>
    <row r="161" spans="5:43" x14ac:dyDescent="0.25">
      <c r="E161" s="60"/>
      <c r="F161" s="111" t="s">
        <v>247</v>
      </c>
      <c r="G161" s="111" t="s">
        <v>207</v>
      </c>
      <c r="H161" s="90"/>
      <c r="I161" s="90"/>
      <c r="J161" s="167">
        <f>'Inputs by customer type'!J126</f>
        <v>31822.604696478476</v>
      </c>
      <c r="K161" s="112"/>
      <c r="L161" s="167">
        <f>'Inputs by customer type'!L126</f>
        <v>272.59767908914301</v>
      </c>
      <c r="M161" s="112"/>
      <c r="N161" s="167">
        <f>'Inputs by customer type'!N126</f>
        <v>1060.623</v>
      </c>
      <c r="O161" s="167">
        <f>'Inputs by customer type'!O126</f>
        <v>0</v>
      </c>
      <c r="P161" s="167">
        <f>'Inputs by customer type'!P126</f>
        <v>935.44699999999989</v>
      </c>
      <c r="Q161" s="167">
        <f>'Inputs by customer type'!Q126</f>
        <v>18.416884893455101</v>
      </c>
      <c r="R161" s="112"/>
      <c r="S161" s="112"/>
      <c r="T161" s="112"/>
      <c r="U161" s="112"/>
      <c r="V161" s="112"/>
      <c r="W161" s="112"/>
      <c r="X161" s="112"/>
      <c r="Y161" s="112"/>
      <c r="AQ161" s="3"/>
    </row>
    <row r="162" spans="5:43" x14ac:dyDescent="0.25">
      <c r="E162" s="60"/>
      <c r="F162" s="113" t="s">
        <v>248</v>
      </c>
      <c r="G162" s="113" t="s">
        <v>207</v>
      </c>
      <c r="J162" s="190">
        <f>'Inputs by customer type'!J127</f>
        <v>112500.30860353298</v>
      </c>
      <c r="K162" s="121"/>
      <c r="L162" s="190">
        <f>'Inputs by customer type'!L127</f>
        <v>1413.8117922750191</v>
      </c>
      <c r="M162" s="121"/>
      <c r="N162" s="190">
        <f>'Inputs by customer type'!N127</f>
        <v>4602.2050000000008</v>
      </c>
      <c r="O162" s="190">
        <f>'Inputs by customer type'!O127</f>
        <v>0</v>
      </c>
      <c r="P162" s="190">
        <f>'Inputs by customer type'!P127</f>
        <v>4238.0400000000009</v>
      </c>
      <c r="Q162" s="190">
        <f>'Inputs by customer type'!Q127</f>
        <v>221.81066970532819</v>
      </c>
      <c r="R162" s="121"/>
      <c r="S162" s="121"/>
      <c r="T162" s="121"/>
      <c r="U162" s="121"/>
      <c r="V162" s="121"/>
      <c r="W162" s="121"/>
      <c r="X162" s="121"/>
      <c r="Y162" s="121"/>
      <c r="AQ162" s="3"/>
    </row>
    <row r="163" spans="5:43" x14ac:dyDescent="0.25">
      <c r="E163" s="60"/>
      <c r="F163" s="113" t="s">
        <v>249</v>
      </c>
      <c r="G163" s="113" t="s">
        <v>207</v>
      </c>
      <c r="J163" s="190">
        <f>'Inputs by customer type'!J128</f>
        <v>102434.88722672098</v>
      </c>
      <c r="K163" s="121"/>
      <c r="L163" s="190">
        <f>'Inputs by customer type'!L128</f>
        <v>1123.3285139185232</v>
      </c>
      <c r="M163" s="121"/>
      <c r="N163" s="190">
        <f>'Inputs by customer type'!N128</f>
        <v>4547.0809999999992</v>
      </c>
      <c r="O163" s="190">
        <f>'Inputs by customer type'!O128</f>
        <v>0</v>
      </c>
      <c r="P163" s="190">
        <f>'Inputs by customer type'!P128</f>
        <v>4606.8730000000014</v>
      </c>
      <c r="Q163" s="190">
        <f>'Inputs by customer type'!Q128</f>
        <v>261.40423687505682</v>
      </c>
      <c r="R163" s="121"/>
      <c r="S163" s="121"/>
      <c r="T163" s="121"/>
      <c r="U163" s="121"/>
      <c r="V163" s="121"/>
      <c r="W163" s="121"/>
      <c r="X163" s="121"/>
      <c r="Y163" s="121"/>
      <c r="AQ163" s="3"/>
    </row>
    <row r="164" spans="5:43" x14ac:dyDescent="0.25">
      <c r="E164" s="60"/>
      <c r="F164" s="113" t="s">
        <v>212</v>
      </c>
      <c r="G164" s="113" t="s">
        <v>212</v>
      </c>
      <c r="J164" s="190">
        <f>'Inputs by customer type'!J129</f>
        <v>94595</v>
      </c>
      <c r="K164" s="121"/>
      <c r="L164" s="190">
        <f>'Inputs by customer type'!L129</f>
        <v>628</v>
      </c>
      <c r="M164" s="121"/>
      <c r="N164" s="190">
        <f>'Inputs by customer type'!N129</f>
        <v>91</v>
      </c>
      <c r="O164" s="190">
        <f>'Inputs by customer type'!O129</f>
        <v>0</v>
      </c>
      <c r="P164" s="190">
        <f>'Inputs by customer type'!P129</f>
        <v>9</v>
      </c>
      <c r="Q164" s="190">
        <f>'Inputs by customer type'!Q129</f>
        <v>54</v>
      </c>
      <c r="R164" s="121"/>
      <c r="S164" s="121"/>
      <c r="T164" s="121"/>
      <c r="U164" s="121"/>
      <c r="V164" s="121"/>
      <c r="W164" s="121"/>
      <c r="X164" s="121"/>
      <c r="Y164" s="121"/>
      <c r="AQ164" s="3"/>
    </row>
    <row r="165" spans="5:43" x14ac:dyDescent="0.25">
      <c r="E165" s="60"/>
      <c r="F165" s="113" t="s">
        <v>250</v>
      </c>
      <c r="G165" s="113" t="s">
        <v>251</v>
      </c>
      <c r="J165" s="190">
        <f>'Inputs by customer type'!J130</f>
        <v>0</v>
      </c>
      <c r="K165" s="121"/>
      <c r="L165" s="190">
        <f>'Inputs by customer type'!L130</f>
        <v>0</v>
      </c>
      <c r="M165" s="121"/>
      <c r="N165" s="190">
        <f>'Inputs by customer type'!N130</f>
        <v>5141</v>
      </c>
      <c r="O165" s="190">
        <f>'Inputs by customer type'!O130</f>
        <v>0</v>
      </c>
      <c r="P165" s="190">
        <f>'Inputs by customer type'!P130</f>
        <v>2743</v>
      </c>
      <c r="Q165" s="190">
        <f>'Inputs by customer type'!Q130</f>
        <v>0</v>
      </c>
      <c r="R165" s="121"/>
      <c r="S165" s="121"/>
      <c r="T165" s="121"/>
      <c r="U165" s="121"/>
      <c r="V165" s="121"/>
      <c r="W165" s="121"/>
      <c r="X165" s="121"/>
      <c r="Y165" s="121"/>
      <c r="AQ165" s="3"/>
    </row>
    <row r="166" spans="5:43" x14ac:dyDescent="0.25">
      <c r="E166" s="60"/>
      <c r="F166" s="113" t="s">
        <v>252</v>
      </c>
      <c r="G166" s="113" t="s">
        <v>251</v>
      </c>
      <c r="J166" s="190">
        <f>'Inputs by customer type'!J131</f>
        <v>0</v>
      </c>
      <c r="K166" s="121"/>
      <c r="L166" s="190">
        <f>'Inputs by customer type'!L131</f>
        <v>0</v>
      </c>
      <c r="M166" s="121"/>
      <c r="N166" s="190">
        <f>'Inputs by customer type'!N131</f>
        <v>1552</v>
      </c>
      <c r="O166" s="190">
        <f>'Inputs by customer type'!O131</f>
        <v>0</v>
      </c>
      <c r="P166" s="190">
        <f>'Inputs by customer type'!P131</f>
        <v>0</v>
      </c>
      <c r="Q166" s="190">
        <f>'Inputs by customer type'!Q131</f>
        <v>0</v>
      </c>
      <c r="R166" s="121"/>
      <c r="S166" s="121"/>
      <c r="T166" s="121"/>
      <c r="U166" s="121"/>
      <c r="V166" s="121"/>
      <c r="W166" s="121"/>
      <c r="X166" s="121"/>
      <c r="Y166" s="121"/>
      <c r="AQ166" s="3"/>
    </row>
    <row r="167" spans="5:43" x14ac:dyDescent="0.25">
      <c r="E167" s="60"/>
      <c r="F167" s="115" t="s">
        <v>253</v>
      </c>
      <c r="G167" s="115" t="s">
        <v>254</v>
      </c>
      <c r="H167" s="91"/>
      <c r="I167" s="91"/>
      <c r="J167" s="168">
        <f>'Inputs by customer type'!J132</f>
        <v>0</v>
      </c>
      <c r="K167" s="116"/>
      <c r="L167" s="168">
        <f>'Inputs by customer type'!L132</f>
        <v>0</v>
      </c>
      <c r="M167" s="116"/>
      <c r="N167" s="168">
        <f>'Inputs by customer type'!N132</f>
        <v>863.53200000000004</v>
      </c>
      <c r="O167" s="168">
        <f>'Inputs by customer type'!O132</f>
        <v>0</v>
      </c>
      <c r="P167" s="168">
        <f>'Inputs by customer type'!P132</f>
        <v>836.62400000000002</v>
      </c>
      <c r="Q167" s="168">
        <f>'Inputs by customer type'!Q132</f>
        <v>0</v>
      </c>
      <c r="R167" s="116"/>
      <c r="S167" s="116"/>
      <c r="T167" s="116"/>
      <c r="U167" s="116"/>
      <c r="V167" s="116"/>
      <c r="W167" s="116"/>
      <c r="X167" s="116"/>
      <c r="Y167" s="116"/>
      <c r="AQ167" s="3"/>
    </row>
    <row r="168" spans="5:43" x14ac:dyDescent="0.25">
      <c r="AQ168" s="3"/>
    </row>
    <row r="169" spans="5:43" x14ac:dyDescent="0.25">
      <c r="E169" s="60" t="s">
        <v>944</v>
      </c>
      <c r="G169" s="46"/>
      <c r="I169" t="s">
        <v>154</v>
      </c>
      <c r="AQ169" s="3"/>
    </row>
    <row r="170" spans="5:43" x14ac:dyDescent="0.25">
      <c r="E170" s="60"/>
      <c r="F170" s="111" t="s">
        <v>247</v>
      </c>
      <c r="G170" s="111" t="s">
        <v>207</v>
      </c>
      <c r="H170" s="90"/>
      <c r="I170" s="90"/>
      <c r="J170" s="112"/>
      <c r="K170" s="112"/>
      <c r="L170" s="167">
        <f>'Inputs by customer type'!L135</f>
        <v>376.95201120233037</v>
      </c>
      <c r="M170" s="112"/>
      <c r="N170" s="167">
        <f>'Inputs by customer type'!N135</f>
        <v>2639.4720000000002</v>
      </c>
      <c r="O170" s="167">
        <f>'Inputs by customer type'!O135</f>
        <v>116.745</v>
      </c>
      <c r="P170" s="167">
        <f>'Inputs by customer type'!P135</f>
        <v>1159.1999999999998</v>
      </c>
      <c r="Q170" s="112"/>
      <c r="R170" s="112"/>
      <c r="S170" s="112"/>
      <c r="T170" s="112"/>
      <c r="U170" s="112"/>
      <c r="V170" s="112"/>
      <c r="W170" s="112"/>
      <c r="X170" s="112"/>
      <c r="Y170" s="112"/>
      <c r="AQ170" s="3"/>
    </row>
    <row r="171" spans="5:43" x14ac:dyDescent="0.25">
      <c r="E171" s="60"/>
      <c r="F171" s="113" t="s">
        <v>248</v>
      </c>
      <c r="G171" s="113" t="s">
        <v>207</v>
      </c>
      <c r="J171" s="121"/>
      <c r="K171" s="121"/>
      <c r="L171" s="190">
        <f>'Inputs by customer type'!L136</f>
        <v>1952.3763872739405</v>
      </c>
      <c r="M171" s="121"/>
      <c r="N171" s="190">
        <f>'Inputs by customer type'!N136</f>
        <v>11199.531000000001</v>
      </c>
      <c r="O171" s="190">
        <f>'Inputs by customer type'!O136</f>
        <v>484.83300000000008</v>
      </c>
      <c r="P171" s="190">
        <f>'Inputs by customer type'!P136</f>
        <v>5012.5640000000003</v>
      </c>
      <c r="Q171" s="121"/>
      <c r="R171" s="121"/>
      <c r="S171" s="121"/>
      <c r="T171" s="121"/>
      <c r="U171" s="121"/>
      <c r="V171" s="121"/>
      <c r="W171" s="121"/>
      <c r="X171" s="121"/>
      <c r="Y171" s="121"/>
      <c r="AQ171" s="3"/>
    </row>
    <row r="172" spans="5:43" x14ac:dyDescent="0.25">
      <c r="E172" s="60"/>
      <c r="F172" s="113" t="s">
        <v>249</v>
      </c>
      <c r="G172" s="113" t="s">
        <v>207</v>
      </c>
      <c r="J172" s="121"/>
      <c r="K172" s="121"/>
      <c r="L172" s="190">
        <f>'Inputs by customer type'!L137</f>
        <v>1536.2863492087945</v>
      </c>
      <c r="M172" s="121"/>
      <c r="N172" s="190">
        <f>'Inputs by customer type'!N137</f>
        <v>9443.5720000000001</v>
      </c>
      <c r="O172" s="190">
        <f>'Inputs by customer type'!O137</f>
        <v>504.34399999999999</v>
      </c>
      <c r="P172" s="190">
        <f>'Inputs by customer type'!P137</f>
        <v>5478.5059999999994</v>
      </c>
      <c r="Q172" s="121"/>
      <c r="R172" s="121"/>
      <c r="S172" s="121"/>
      <c r="T172" s="121"/>
      <c r="U172" s="121"/>
      <c r="V172" s="121"/>
      <c r="W172" s="121"/>
      <c r="X172" s="121"/>
      <c r="Y172" s="121"/>
      <c r="AQ172" s="3"/>
    </row>
    <row r="173" spans="5:43" x14ac:dyDescent="0.25">
      <c r="E173" s="60"/>
      <c r="F173" s="113" t="s">
        <v>212</v>
      </c>
      <c r="G173" s="113" t="s">
        <v>212</v>
      </c>
      <c r="J173" s="121"/>
      <c r="K173" s="121"/>
      <c r="L173" s="190">
        <f>'Inputs by customer type'!L138</f>
        <v>534</v>
      </c>
      <c r="M173" s="121"/>
      <c r="N173" s="190">
        <f>'Inputs by customer type'!N138</f>
        <v>157</v>
      </c>
      <c r="O173" s="190">
        <f>'Inputs by customer type'!O138</f>
        <v>3</v>
      </c>
      <c r="P173" s="190">
        <f>'Inputs by customer type'!P138</f>
        <v>6</v>
      </c>
      <c r="Q173" s="121"/>
      <c r="R173" s="121"/>
      <c r="S173" s="121"/>
      <c r="T173" s="121"/>
      <c r="U173" s="121"/>
      <c r="V173" s="121"/>
      <c r="W173" s="121"/>
      <c r="X173" s="121"/>
      <c r="Y173" s="121"/>
      <c r="AQ173" s="3"/>
    </row>
    <row r="174" spans="5:43" x14ac:dyDescent="0.25">
      <c r="E174" s="60"/>
      <c r="F174" s="113" t="s">
        <v>250</v>
      </c>
      <c r="G174" s="113" t="s">
        <v>251</v>
      </c>
      <c r="J174" s="121"/>
      <c r="K174" s="121"/>
      <c r="L174" s="190">
        <f>'Inputs by customer type'!L139</f>
        <v>0</v>
      </c>
      <c r="M174" s="121"/>
      <c r="N174" s="190">
        <f>'Inputs by customer type'!N139</f>
        <v>18185</v>
      </c>
      <c r="O174" s="190">
        <f>'Inputs by customer type'!O139</f>
        <v>327</v>
      </c>
      <c r="P174" s="190">
        <f>'Inputs by customer type'!P139</f>
        <v>3695</v>
      </c>
      <c r="Q174" s="121"/>
      <c r="R174" s="121"/>
      <c r="S174" s="121"/>
      <c r="T174" s="121"/>
      <c r="U174" s="121"/>
      <c r="V174" s="121"/>
      <c r="W174" s="121"/>
      <c r="X174" s="121"/>
      <c r="Y174" s="121"/>
      <c r="AQ174" s="3"/>
    </row>
    <row r="175" spans="5:43" x14ac:dyDescent="0.25">
      <c r="E175" s="60"/>
      <c r="F175" s="113" t="s">
        <v>252</v>
      </c>
      <c r="G175" s="113" t="s">
        <v>251</v>
      </c>
      <c r="J175" s="121"/>
      <c r="K175" s="121"/>
      <c r="L175" s="190">
        <f>'Inputs by customer type'!L140</f>
        <v>0</v>
      </c>
      <c r="M175" s="121"/>
      <c r="N175" s="190">
        <f>'Inputs by customer type'!N140</f>
        <v>8</v>
      </c>
      <c r="O175" s="190">
        <f>'Inputs by customer type'!O140</f>
        <v>0</v>
      </c>
      <c r="P175" s="190">
        <f>'Inputs by customer type'!P140</f>
        <v>241</v>
      </c>
      <c r="Q175" s="121"/>
      <c r="R175" s="121"/>
      <c r="S175" s="121"/>
      <c r="T175" s="121"/>
      <c r="U175" s="121"/>
      <c r="V175" s="121"/>
      <c r="W175" s="121"/>
      <c r="X175" s="121"/>
      <c r="Y175" s="121"/>
      <c r="AQ175" s="3"/>
    </row>
    <row r="176" spans="5:43" x14ac:dyDescent="0.25">
      <c r="E176" s="60"/>
      <c r="F176" s="115" t="s">
        <v>253</v>
      </c>
      <c r="G176" s="115" t="s">
        <v>254</v>
      </c>
      <c r="H176" s="91"/>
      <c r="I176" s="91"/>
      <c r="J176" s="116"/>
      <c r="K176" s="116"/>
      <c r="L176" s="168">
        <f>'Inputs by customer type'!L141</f>
        <v>0</v>
      </c>
      <c r="M176" s="116"/>
      <c r="N176" s="168">
        <f>'Inputs by customer type'!N141</f>
        <v>1035.95</v>
      </c>
      <c r="O176" s="168">
        <f>'Inputs by customer type'!O141</f>
        <v>20.306000000000001</v>
      </c>
      <c r="P176" s="168">
        <f>'Inputs by customer type'!P141</f>
        <v>0.19400000000000001</v>
      </c>
      <c r="Q176" s="116"/>
      <c r="R176" s="116"/>
      <c r="S176" s="116"/>
      <c r="T176" s="116"/>
      <c r="U176" s="116"/>
      <c r="V176" s="116"/>
      <c r="W176" s="116"/>
      <c r="X176" s="116"/>
      <c r="Y176" s="116"/>
      <c r="AQ176" s="3"/>
    </row>
    <row r="177" spans="5:43" x14ac:dyDescent="0.25">
      <c r="AQ177" s="3"/>
    </row>
    <row r="178" spans="5:43" x14ac:dyDescent="0.25">
      <c r="E178" s="60" t="s">
        <v>945</v>
      </c>
      <c r="G178" s="46"/>
      <c r="I178" t="s">
        <v>154</v>
      </c>
      <c r="AQ178" s="3"/>
    </row>
    <row r="179" spans="5:43" x14ac:dyDescent="0.25">
      <c r="E179" s="60"/>
      <c r="F179" s="111" t="s">
        <v>247</v>
      </c>
      <c r="G179" s="111" t="s">
        <v>207</v>
      </c>
      <c r="H179" s="90"/>
      <c r="I179" s="90"/>
      <c r="J179" s="112"/>
      <c r="K179" s="112"/>
      <c r="L179" s="167">
        <f>'Inputs by customer type'!L144</f>
        <v>551.49287055389118</v>
      </c>
      <c r="M179" s="112"/>
      <c r="N179" s="167">
        <f>'Inputs by customer type'!N144</f>
        <v>3418.0200000000004</v>
      </c>
      <c r="O179" s="167">
        <f>'Inputs by customer type'!O144</f>
        <v>49.131</v>
      </c>
      <c r="P179" s="167">
        <f>'Inputs by customer type'!P144</f>
        <v>1527.7200000000003</v>
      </c>
      <c r="Q179" s="112"/>
      <c r="R179" s="112"/>
      <c r="S179" s="112"/>
      <c r="T179" s="112"/>
      <c r="U179" s="112"/>
      <c r="V179" s="112"/>
      <c r="W179" s="112"/>
      <c r="X179" s="112"/>
      <c r="Y179" s="112"/>
      <c r="AQ179" s="3"/>
    </row>
    <row r="180" spans="5:43" x14ac:dyDescent="0.25">
      <c r="E180" s="60"/>
      <c r="F180" s="113" t="s">
        <v>248</v>
      </c>
      <c r="G180" s="113" t="s">
        <v>207</v>
      </c>
      <c r="J180" s="121"/>
      <c r="K180" s="121"/>
      <c r="L180" s="190">
        <f>'Inputs by customer type'!L145</f>
        <v>2847.8755443340997</v>
      </c>
      <c r="M180" s="121"/>
      <c r="N180" s="190">
        <f>'Inputs by customer type'!N145</f>
        <v>14756.190999999999</v>
      </c>
      <c r="O180" s="190">
        <f>'Inputs by customer type'!O145</f>
        <v>219.785</v>
      </c>
      <c r="P180" s="190">
        <f>'Inputs by customer type'!P145</f>
        <v>6786.5599999999995</v>
      </c>
      <c r="Q180" s="121"/>
      <c r="R180" s="121"/>
      <c r="S180" s="121"/>
      <c r="T180" s="121"/>
      <c r="U180" s="121"/>
      <c r="V180" s="121"/>
      <c r="W180" s="121"/>
      <c r="X180" s="121"/>
      <c r="Y180" s="121"/>
      <c r="AQ180" s="3"/>
    </row>
    <row r="181" spans="5:43" x14ac:dyDescent="0.25">
      <c r="E181" s="60"/>
      <c r="F181" s="113" t="s">
        <v>249</v>
      </c>
      <c r="G181" s="113" t="s">
        <v>207</v>
      </c>
      <c r="J181" s="121"/>
      <c r="K181" s="121"/>
      <c r="L181" s="190">
        <f>'Inputs by customer type'!L146</f>
        <v>2278.9945095773928</v>
      </c>
      <c r="M181" s="121"/>
      <c r="N181" s="190">
        <f>'Inputs by customer type'!N146</f>
        <v>13669.217000000001</v>
      </c>
      <c r="O181" s="190">
        <f>'Inputs by customer type'!O146</f>
        <v>257.81100000000004</v>
      </c>
      <c r="P181" s="190">
        <f>'Inputs by customer type'!P146</f>
        <v>8352.4259999999995</v>
      </c>
      <c r="Q181" s="121"/>
      <c r="R181" s="121"/>
      <c r="S181" s="121"/>
      <c r="T181" s="121"/>
      <c r="U181" s="121"/>
      <c r="V181" s="121"/>
      <c r="W181" s="121"/>
      <c r="X181" s="121"/>
      <c r="Y181" s="121"/>
      <c r="AQ181" s="3"/>
    </row>
    <row r="182" spans="5:43" x14ac:dyDescent="0.25">
      <c r="E182" s="60"/>
      <c r="F182" s="113" t="s">
        <v>212</v>
      </c>
      <c r="G182" s="113" t="s">
        <v>212</v>
      </c>
      <c r="J182" s="121"/>
      <c r="K182" s="121"/>
      <c r="L182" s="190">
        <f>'Inputs by customer type'!L147</f>
        <v>369</v>
      </c>
      <c r="M182" s="121"/>
      <c r="N182" s="190">
        <f>'Inputs by customer type'!N147</f>
        <v>106</v>
      </c>
      <c r="O182" s="190">
        <f>'Inputs by customer type'!O147</f>
        <v>1</v>
      </c>
      <c r="P182" s="190">
        <f>'Inputs by customer type'!P147</f>
        <v>7</v>
      </c>
      <c r="Q182" s="121"/>
      <c r="R182" s="121"/>
      <c r="S182" s="121"/>
      <c r="T182" s="121"/>
      <c r="U182" s="121"/>
      <c r="V182" s="121"/>
      <c r="W182" s="121"/>
      <c r="X182" s="121"/>
      <c r="Y182" s="121"/>
      <c r="AQ182" s="3"/>
    </row>
    <row r="183" spans="5:43" x14ac:dyDescent="0.25">
      <c r="E183" s="60"/>
      <c r="F183" s="113" t="s">
        <v>250</v>
      </c>
      <c r="G183" s="113" t="s">
        <v>251</v>
      </c>
      <c r="J183" s="121"/>
      <c r="K183" s="121"/>
      <c r="L183" s="190">
        <f>'Inputs by customer type'!L148</f>
        <v>0</v>
      </c>
      <c r="M183" s="121"/>
      <c r="N183" s="190">
        <f>'Inputs by customer type'!N148</f>
        <v>19461</v>
      </c>
      <c r="O183" s="190">
        <f>'Inputs by customer type'!O148</f>
        <v>225</v>
      </c>
      <c r="P183" s="190">
        <f>'Inputs by customer type'!P148</f>
        <v>9600</v>
      </c>
      <c r="Q183" s="121"/>
      <c r="R183" s="121"/>
      <c r="S183" s="121"/>
      <c r="T183" s="121"/>
      <c r="U183" s="121"/>
      <c r="V183" s="121"/>
      <c r="W183" s="121"/>
      <c r="X183" s="121"/>
      <c r="Y183" s="121"/>
      <c r="AQ183" s="3"/>
    </row>
    <row r="184" spans="5:43" x14ac:dyDescent="0.25">
      <c r="E184" s="60"/>
      <c r="F184" s="113" t="s">
        <v>252</v>
      </c>
      <c r="G184" s="113" t="s">
        <v>251</v>
      </c>
      <c r="J184" s="121"/>
      <c r="K184" s="121"/>
      <c r="L184" s="190">
        <f>'Inputs by customer type'!L149</f>
        <v>0</v>
      </c>
      <c r="M184" s="121"/>
      <c r="N184" s="190">
        <f>'Inputs by customer type'!N149</f>
        <v>8.3333333333333339</v>
      </c>
      <c r="O184" s="190">
        <f>'Inputs by customer type'!O149</f>
        <v>0</v>
      </c>
      <c r="P184" s="190">
        <f>'Inputs by customer type'!P149</f>
        <v>0</v>
      </c>
      <c r="Q184" s="121"/>
      <c r="R184" s="121"/>
      <c r="S184" s="121"/>
      <c r="T184" s="121"/>
      <c r="U184" s="121"/>
      <c r="V184" s="121"/>
      <c r="W184" s="121"/>
      <c r="X184" s="121"/>
      <c r="Y184" s="121"/>
      <c r="AQ184" s="3"/>
    </row>
    <row r="185" spans="5:43" x14ac:dyDescent="0.25">
      <c r="E185" s="60"/>
      <c r="F185" s="115" t="s">
        <v>253</v>
      </c>
      <c r="G185" s="115" t="s">
        <v>254</v>
      </c>
      <c r="H185" s="91"/>
      <c r="I185" s="91"/>
      <c r="J185" s="116"/>
      <c r="K185" s="116"/>
      <c r="L185" s="168">
        <f>'Inputs by customer type'!L150</f>
        <v>0</v>
      </c>
      <c r="M185" s="116"/>
      <c r="N185" s="168">
        <f>'Inputs by customer type'!N150</f>
        <v>986.17600000000004</v>
      </c>
      <c r="O185" s="168">
        <f>'Inputs by customer type'!O150</f>
        <v>0.104</v>
      </c>
      <c r="P185" s="168">
        <f>'Inputs by customer type'!P150</f>
        <v>648.19200000000001</v>
      </c>
      <c r="Q185" s="116"/>
      <c r="R185" s="116"/>
      <c r="S185" s="116"/>
      <c r="T185" s="116"/>
      <c r="U185" s="116"/>
      <c r="V185" s="116"/>
      <c r="W185" s="116"/>
      <c r="X185" s="116"/>
      <c r="Y185" s="116"/>
      <c r="AQ185" s="3"/>
    </row>
    <row r="186" spans="5:43" x14ac:dyDescent="0.25">
      <c r="AQ186" s="3"/>
    </row>
    <row r="187" spans="5:43" x14ac:dyDescent="0.25">
      <c r="E187" s="60" t="s">
        <v>946</v>
      </c>
      <c r="G187" s="46"/>
      <c r="I187" t="s">
        <v>154</v>
      </c>
      <c r="AQ187" s="3"/>
    </row>
    <row r="188" spans="5:43" x14ac:dyDescent="0.25">
      <c r="E188" s="60"/>
      <c r="F188" s="111" t="s">
        <v>247</v>
      </c>
      <c r="G188" s="111" t="s">
        <v>207</v>
      </c>
      <c r="H188" s="90"/>
      <c r="I188" s="90"/>
      <c r="J188" s="112"/>
      <c r="K188" s="112"/>
      <c r="L188" s="167">
        <f>'Inputs by customer type'!L153</f>
        <v>1064.8127993051485</v>
      </c>
      <c r="M188" s="112"/>
      <c r="N188" s="167">
        <f>'Inputs by customer type'!N153</f>
        <v>8785.0440000000017</v>
      </c>
      <c r="O188" s="167">
        <f>'Inputs by customer type'!O153</f>
        <v>3633.603000000001</v>
      </c>
      <c r="P188" s="167">
        <f>'Inputs by customer type'!P153</f>
        <v>1498.6760000000002</v>
      </c>
      <c r="Q188" s="112"/>
      <c r="R188" s="112"/>
      <c r="S188" s="112"/>
      <c r="T188" s="112"/>
      <c r="U188" s="112"/>
      <c r="V188" s="112"/>
      <c r="W188" s="112"/>
      <c r="X188" s="112"/>
      <c r="Y188" s="112"/>
      <c r="AQ188" s="3"/>
    </row>
    <row r="189" spans="5:43" x14ac:dyDescent="0.25">
      <c r="E189" s="60"/>
      <c r="F189" s="113" t="s">
        <v>248</v>
      </c>
      <c r="G189" s="113" t="s">
        <v>207</v>
      </c>
      <c r="J189" s="121"/>
      <c r="K189" s="121"/>
      <c r="L189" s="190">
        <f>'Inputs by customer type'!L154</f>
        <v>5498.5045368633428</v>
      </c>
      <c r="M189" s="121"/>
      <c r="N189" s="190">
        <f>'Inputs by customer type'!N154</f>
        <v>39880.716999999997</v>
      </c>
      <c r="O189" s="190">
        <f>'Inputs by customer type'!O154</f>
        <v>16219.2</v>
      </c>
      <c r="P189" s="190">
        <f>'Inputs by customer type'!P154</f>
        <v>7252.5439999999999</v>
      </c>
      <c r="Q189" s="121"/>
      <c r="R189" s="121"/>
      <c r="S189" s="121"/>
      <c r="T189" s="121"/>
      <c r="U189" s="121"/>
      <c r="V189" s="121"/>
      <c r="W189" s="121"/>
      <c r="X189" s="121"/>
      <c r="Y189" s="121"/>
      <c r="AQ189" s="3"/>
    </row>
    <row r="190" spans="5:43" x14ac:dyDescent="0.25">
      <c r="E190" s="60"/>
      <c r="F190" s="113" t="s">
        <v>249</v>
      </c>
      <c r="G190" s="113" t="s">
        <v>207</v>
      </c>
      <c r="J190" s="121"/>
      <c r="K190" s="121"/>
      <c r="L190" s="190">
        <f>'Inputs by customer type'!L155</f>
        <v>4536.1146177521596</v>
      </c>
      <c r="M190" s="121"/>
      <c r="N190" s="190">
        <f>'Inputs by customer type'!N155</f>
        <v>36000.575000000004</v>
      </c>
      <c r="O190" s="190">
        <f>'Inputs by customer type'!O155</f>
        <v>15138.128000000002</v>
      </c>
      <c r="P190" s="190">
        <f>'Inputs by customer type'!P155</f>
        <v>10090.327000000001</v>
      </c>
      <c r="Q190" s="121"/>
      <c r="R190" s="121"/>
      <c r="S190" s="121"/>
      <c r="T190" s="121"/>
      <c r="U190" s="121"/>
      <c r="V190" s="121"/>
      <c r="W190" s="121"/>
      <c r="X190" s="121"/>
      <c r="Y190" s="121"/>
      <c r="AQ190" s="3"/>
    </row>
    <row r="191" spans="5:43" x14ac:dyDescent="0.25">
      <c r="E191" s="60"/>
      <c r="F191" s="113" t="s">
        <v>212</v>
      </c>
      <c r="G191" s="113" t="s">
        <v>212</v>
      </c>
      <c r="J191" s="121"/>
      <c r="K191" s="121"/>
      <c r="L191" s="190">
        <f>'Inputs by customer type'!L156</f>
        <v>292</v>
      </c>
      <c r="M191" s="121"/>
      <c r="N191" s="190">
        <f>'Inputs by customer type'!N156</f>
        <v>172</v>
      </c>
      <c r="O191" s="190">
        <f>'Inputs by customer type'!O156</f>
        <v>41</v>
      </c>
      <c r="P191" s="190">
        <f>'Inputs by customer type'!P156</f>
        <v>8</v>
      </c>
      <c r="Q191" s="121"/>
      <c r="R191" s="121"/>
      <c r="S191" s="121"/>
      <c r="T191" s="121"/>
      <c r="U191" s="121"/>
      <c r="V191" s="121"/>
      <c r="W191" s="121"/>
      <c r="X191" s="121"/>
      <c r="Y191" s="121"/>
      <c r="AQ191" s="3"/>
    </row>
    <row r="192" spans="5:43" x14ac:dyDescent="0.25">
      <c r="E192" s="60"/>
      <c r="F192" s="113" t="s">
        <v>250</v>
      </c>
      <c r="G192" s="113" t="s">
        <v>251</v>
      </c>
      <c r="J192" s="121"/>
      <c r="K192" s="121"/>
      <c r="L192" s="190">
        <f>'Inputs by customer type'!L157</f>
        <v>0</v>
      </c>
      <c r="M192" s="121"/>
      <c r="N192" s="190">
        <f>'Inputs by customer type'!N157</f>
        <v>78990</v>
      </c>
      <c r="O192" s="190">
        <f>'Inputs by customer type'!O157</f>
        <v>27059</v>
      </c>
      <c r="P192" s="190">
        <f>'Inputs by customer type'!P157</f>
        <v>23200</v>
      </c>
      <c r="Q192" s="121"/>
      <c r="R192" s="121"/>
      <c r="S192" s="121"/>
      <c r="T192" s="121"/>
      <c r="U192" s="121"/>
      <c r="V192" s="121"/>
      <c r="W192" s="121"/>
      <c r="X192" s="121"/>
      <c r="Y192" s="121"/>
      <c r="AQ192" s="3"/>
    </row>
    <row r="193" spans="4:43" x14ac:dyDescent="0.25">
      <c r="E193" s="60"/>
      <c r="F193" s="113" t="s">
        <v>252</v>
      </c>
      <c r="G193" s="113" t="s">
        <v>251</v>
      </c>
      <c r="J193" s="121"/>
      <c r="K193" s="121"/>
      <c r="L193" s="190">
        <f>'Inputs by customer type'!L158</f>
        <v>0</v>
      </c>
      <c r="M193" s="121"/>
      <c r="N193" s="190">
        <f>'Inputs by customer type'!N158</f>
        <v>2.6666666666666665</v>
      </c>
      <c r="O193" s="190">
        <f>'Inputs by customer type'!O158</f>
        <v>0</v>
      </c>
      <c r="P193" s="190">
        <f>'Inputs by customer type'!P158</f>
        <v>0</v>
      </c>
      <c r="Q193" s="121"/>
      <c r="R193" s="121"/>
      <c r="S193" s="121"/>
      <c r="T193" s="121"/>
      <c r="U193" s="121"/>
      <c r="V193" s="121"/>
      <c r="W193" s="121"/>
      <c r="X193" s="121"/>
      <c r="Y193" s="121"/>
      <c r="AQ193" s="3"/>
    </row>
    <row r="194" spans="4:43" x14ac:dyDescent="0.25">
      <c r="E194" s="60"/>
      <c r="F194" s="115" t="s">
        <v>253</v>
      </c>
      <c r="G194" s="115" t="s">
        <v>254</v>
      </c>
      <c r="H194" s="91"/>
      <c r="I194" s="91"/>
      <c r="J194" s="116"/>
      <c r="K194" s="116"/>
      <c r="L194" s="168">
        <f>'Inputs by customer type'!L159</f>
        <v>0</v>
      </c>
      <c r="M194" s="116"/>
      <c r="N194" s="168">
        <f>'Inputs by customer type'!N159</f>
        <v>5234.7879999999996</v>
      </c>
      <c r="O194" s="168">
        <f>'Inputs by customer type'!O159</f>
        <v>1570.232</v>
      </c>
      <c r="P194" s="168">
        <f>'Inputs by customer type'!P159</f>
        <v>262.87200000000001</v>
      </c>
      <c r="Q194" s="116"/>
      <c r="R194" s="116"/>
      <c r="S194" s="116"/>
      <c r="T194" s="116"/>
      <c r="U194" s="116"/>
      <c r="V194" s="116"/>
      <c r="W194" s="116"/>
      <c r="X194" s="116"/>
      <c r="Y194" s="116"/>
      <c r="AQ194" s="3"/>
    </row>
    <row r="195" spans="4:43" x14ac:dyDescent="0.25">
      <c r="AQ195" s="3"/>
    </row>
    <row r="196" spans="4:43" x14ac:dyDescent="0.25">
      <c r="D196" s="71" t="s">
        <v>953</v>
      </c>
      <c r="AQ196" s="3"/>
    </row>
    <row r="197" spans="4:43" x14ac:dyDescent="0.25">
      <c r="AQ197" s="3"/>
    </row>
    <row r="198" spans="4:43" x14ac:dyDescent="0.25">
      <c r="E198" s="60" t="s">
        <v>245</v>
      </c>
      <c r="G198" s="46"/>
      <c r="I198" t="s">
        <v>154</v>
      </c>
      <c r="AA198" t="s">
        <v>246</v>
      </c>
    </row>
    <row r="199" spans="4:43" x14ac:dyDescent="0.25">
      <c r="E199" s="60"/>
      <c r="F199" s="111" t="s">
        <v>247</v>
      </c>
      <c r="G199" s="111" t="s">
        <v>207</v>
      </c>
      <c r="H199" s="90"/>
      <c r="I199" s="90"/>
      <c r="J199" s="169">
        <f t="shared" ref="J199:Y199" si="2">SUM( J67, J76, J85, J94, J58 )</f>
        <v>703559.81712934223</v>
      </c>
      <c r="K199" s="169">
        <f t="shared" si="2"/>
        <v>583.49065558298639</v>
      </c>
      <c r="L199" s="169">
        <f t="shared" si="2"/>
        <v>190255.3136382598</v>
      </c>
      <c r="M199" s="169">
        <f t="shared" si="2"/>
        <v>483.15300000000002</v>
      </c>
      <c r="N199" s="169">
        <f t="shared" si="2"/>
        <v>245911.5191355928</v>
      </c>
      <c r="O199" s="169">
        <f t="shared" si="2"/>
        <v>24524.424318783538</v>
      </c>
      <c r="P199" s="169">
        <f t="shared" si="2"/>
        <v>300263.66389952775</v>
      </c>
      <c r="Q199" s="169">
        <f t="shared" si="2"/>
        <v>10411.538342882297</v>
      </c>
      <c r="R199" s="169">
        <f t="shared" si="2"/>
        <v>8914.4630574141829</v>
      </c>
      <c r="S199" s="169">
        <f t="shared" si="2"/>
        <v>52.1242510546167</v>
      </c>
      <c r="T199" s="169">
        <f t="shared" si="2"/>
        <v>5844.5299999999988</v>
      </c>
      <c r="U199" s="169">
        <f t="shared" si="2"/>
        <v>0</v>
      </c>
      <c r="V199" s="169">
        <f t="shared" si="2"/>
        <v>64.59099999999998</v>
      </c>
      <c r="W199" s="169">
        <f t="shared" si="2"/>
        <v>0</v>
      </c>
      <c r="X199" s="169">
        <f t="shared" si="2"/>
        <v>115415.10300000002</v>
      </c>
      <c r="Y199" s="169">
        <f t="shared" si="2"/>
        <v>0</v>
      </c>
    </row>
    <row r="200" spans="4:43" x14ac:dyDescent="0.25">
      <c r="E200" s="60"/>
      <c r="F200" s="113" t="s">
        <v>248</v>
      </c>
      <c r="G200" s="113" t="s">
        <v>207</v>
      </c>
      <c r="J200" s="191">
        <f t="shared" ref="J200:Y200" si="3">SUM( J68, J77, J86, J95, J59 )</f>
        <v>2447600.8517030654</v>
      </c>
      <c r="K200" s="191">
        <f t="shared" si="3"/>
        <v>16234.514009424238</v>
      </c>
      <c r="L200" s="191">
        <f t="shared" si="3"/>
        <v>987075.69083052059</v>
      </c>
      <c r="M200" s="191">
        <f t="shared" si="3"/>
        <v>7645.8209999999999</v>
      </c>
      <c r="N200" s="191">
        <f t="shared" si="3"/>
        <v>1184309.6850524526</v>
      </c>
      <c r="O200" s="191">
        <f t="shared" si="3"/>
        <v>114693.91274630351</v>
      </c>
      <c r="P200" s="191">
        <f t="shared" si="3"/>
        <v>1402084.1190105588</v>
      </c>
      <c r="Q200" s="192">
        <f t="shared" si="3"/>
        <v>60982.689512370809</v>
      </c>
      <c r="R200" s="192">
        <f t="shared" si="3"/>
        <v>49280.917648912247</v>
      </c>
      <c r="S200" s="192">
        <f t="shared" si="3"/>
        <v>227.37680998266927</v>
      </c>
      <c r="T200" s="191">
        <f t="shared" si="3"/>
        <v>27694.188000000006</v>
      </c>
      <c r="U200" s="191">
        <f t="shared" si="3"/>
        <v>0</v>
      </c>
      <c r="V200" s="191">
        <f t="shared" si="3"/>
        <v>326.78199999999998</v>
      </c>
      <c r="W200" s="191">
        <f t="shared" si="3"/>
        <v>0</v>
      </c>
      <c r="X200" s="191">
        <f t="shared" si="3"/>
        <v>421753.54499999998</v>
      </c>
      <c r="Y200" s="191">
        <f t="shared" si="3"/>
        <v>0</v>
      </c>
    </row>
    <row r="201" spans="4:43" x14ac:dyDescent="0.25">
      <c r="E201" s="60"/>
      <c r="F201" s="113" t="s">
        <v>249</v>
      </c>
      <c r="G201" s="113" t="s">
        <v>207</v>
      </c>
      <c r="J201" s="191">
        <f t="shared" ref="J201:Y201" si="4">SUM( J69, J78, J87, J96, J60 )</f>
        <v>2346502.0044514849</v>
      </c>
      <c r="K201" s="191">
        <f t="shared" si="4"/>
        <v>163317.30533499279</v>
      </c>
      <c r="L201" s="191">
        <f t="shared" si="4"/>
        <v>816323.36258053593</v>
      </c>
      <c r="M201" s="191">
        <f t="shared" si="4"/>
        <v>33432.284</v>
      </c>
      <c r="N201" s="191">
        <f t="shared" si="4"/>
        <v>1052944.0119803445</v>
      </c>
      <c r="O201" s="191">
        <f t="shared" si="4"/>
        <v>117085.58876896517</v>
      </c>
      <c r="P201" s="191">
        <f t="shared" si="4"/>
        <v>1541810.3868566044</v>
      </c>
      <c r="Q201" s="192">
        <f t="shared" si="4"/>
        <v>138883.6383279369</v>
      </c>
      <c r="R201" s="192">
        <f t="shared" si="4"/>
        <v>22702.507450935238</v>
      </c>
      <c r="S201" s="192">
        <f t="shared" si="4"/>
        <v>201.46913946310823</v>
      </c>
      <c r="T201" s="191">
        <f t="shared" si="4"/>
        <v>29330.011000000002</v>
      </c>
      <c r="U201" s="191">
        <f t="shared" si="4"/>
        <v>0</v>
      </c>
      <c r="V201" s="191">
        <f t="shared" si="4"/>
        <v>309.74</v>
      </c>
      <c r="W201" s="191">
        <f t="shared" si="4"/>
        <v>0</v>
      </c>
      <c r="X201" s="191">
        <f t="shared" si="4"/>
        <v>491598.924</v>
      </c>
      <c r="Y201" s="191">
        <f t="shared" si="4"/>
        <v>0</v>
      </c>
    </row>
    <row r="202" spans="4:43" x14ac:dyDescent="0.25">
      <c r="E202" s="60"/>
      <c r="F202" s="113" t="s">
        <v>212</v>
      </c>
      <c r="G202" s="113" t="s">
        <v>212</v>
      </c>
      <c r="J202" s="191">
        <f t="shared" ref="J202:Y202" si="5">SUM( J70, J79, J88, J97, J61 )</f>
        <v>1860265</v>
      </c>
      <c r="K202" s="191">
        <f t="shared" si="5"/>
        <v>90201</v>
      </c>
      <c r="L202" s="191">
        <f t="shared" si="5"/>
        <v>125138</v>
      </c>
      <c r="M202" s="191">
        <f t="shared" si="5"/>
        <v>5142</v>
      </c>
      <c r="N202" s="191">
        <f t="shared" si="5"/>
        <v>11272</v>
      </c>
      <c r="O202" s="191">
        <f t="shared" si="5"/>
        <v>283</v>
      </c>
      <c r="P202" s="191">
        <f t="shared" si="5"/>
        <v>1282</v>
      </c>
      <c r="Q202" s="191">
        <f t="shared" si="5"/>
        <v>4855</v>
      </c>
      <c r="R202" s="191">
        <f t="shared" si="5"/>
        <v>14150.894574354708</v>
      </c>
      <c r="S202" s="191">
        <f t="shared" si="5"/>
        <v>7</v>
      </c>
      <c r="T202" s="191">
        <f t="shared" si="5"/>
        <v>549</v>
      </c>
      <c r="U202" s="191">
        <f t="shared" si="5"/>
        <v>0</v>
      </c>
      <c r="V202" s="191">
        <f t="shared" si="5"/>
        <v>9</v>
      </c>
      <c r="W202" s="191">
        <f t="shared" si="5"/>
        <v>0</v>
      </c>
      <c r="X202" s="191">
        <f t="shared" si="5"/>
        <v>263</v>
      </c>
      <c r="Y202" s="191">
        <f t="shared" si="5"/>
        <v>0</v>
      </c>
    </row>
    <row r="203" spans="4:43" x14ac:dyDescent="0.25">
      <c r="E203" s="60"/>
      <c r="F203" s="113" t="s">
        <v>250</v>
      </c>
      <c r="G203" s="113" t="s">
        <v>251</v>
      </c>
      <c r="J203" s="114"/>
      <c r="K203" s="114"/>
      <c r="L203" s="114"/>
      <c r="M203" s="114"/>
      <c r="N203" s="191">
        <f t="shared" ref="N203:P205" si="6">SUM( N71, N80, N89, N98, N62 )</f>
        <v>1540724</v>
      </c>
      <c r="O203" s="191">
        <f t="shared" si="6"/>
        <v>109762</v>
      </c>
      <c r="P203" s="191">
        <f t="shared" si="6"/>
        <v>1318917</v>
      </c>
      <c r="Q203" s="114"/>
      <c r="R203" s="114"/>
      <c r="S203" s="114"/>
      <c r="T203" s="114"/>
      <c r="U203" s="114"/>
      <c r="V203" s="114"/>
      <c r="W203" s="114"/>
      <c r="X203" s="114"/>
      <c r="Y203" s="114"/>
    </row>
    <row r="204" spans="4:43" x14ac:dyDescent="0.25">
      <c r="E204" s="60"/>
      <c r="F204" s="113" t="s">
        <v>252</v>
      </c>
      <c r="G204" s="113" t="s">
        <v>251</v>
      </c>
      <c r="J204" s="114"/>
      <c r="K204" s="114"/>
      <c r="L204" s="114"/>
      <c r="M204" s="114"/>
      <c r="N204" s="191">
        <f t="shared" si="6"/>
        <v>22203</v>
      </c>
      <c r="O204" s="191">
        <f t="shared" si="6"/>
        <v>969.66666666666663</v>
      </c>
      <c r="P204" s="191">
        <f t="shared" si="6"/>
        <v>12374.833333333334</v>
      </c>
      <c r="Q204" s="114"/>
      <c r="R204" s="114"/>
      <c r="S204" s="114"/>
      <c r="T204" s="114"/>
      <c r="U204" s="114"/>
      <c r="V204" s="114"/>
      <c r="W204" s="114"/>
      <c r="X204" s="114"/>
      <c r="Y204" s="114"/>
    </row>
    <row r="205" spans="4:43" x14ac:dyDescent="0.25">
      <c r="E205" s="60"/>
      <c r="F205" s="115" t="s">
        <v>253</v>
      </c>
      <c r="G205" s="115" t="s">
        <v>254</v>
      </c>
      <c r="H205" s="91"/>
      <c r="I205" s="91"/>
      <c r="J205" s="116"/>
      <c r="K205" s="116"/>
      <c r="L205" s="116"/>
      <c r="M205" s="116"/>
      <c r="N205" s="143">
        <f t="shared" si="6"/>
        <v>215582.78399999999</v>
      </c>
      <c r="O205" s="143">
        <f t="shared" si="6"/>
        <v>20784.168000000001</v>
      </c>
      <c r="P205" s="143">
        <f t="shared" si="6"/>
        <v>219787.296</v>
      </c>
      <c r="Q205" s="116"/>
      <c r="R205" s="116"/>
      <c r="S205" s="116"/>
      <c r="T205" s="143">
        <f>SUM( T73, T82, T91, T100, T64 )</f>
        <v>6086.3360000000011</v>
      </c>
      <c r="U205" s="116"/>
      <c r="V205" s="143">
        <f>SUM( V73, V82, V91, V100, V64 )</f>
        <v>184.05</v>
      </c>
      <c r="W205" s="116"/>
      <c r="X205" s="143">
        <f>SUM( X73, X82, X91, X100, X64 )</f>
        <v>18732.55</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255</v>
      </c>
      <c r="G207" s="115"/>
      <c r="H207" s="91"/>
      <c r="I207" t="s">
        <v>154</v>
      </c>
      <c r="J207" s="193"/>
      <c r="K207" s="193"/>
      <c r="L207" s="193"/>
      <c r="M207" s="193"/>
      <c r="N207" s="193"/>
      <c r="O207" s="193"/>
      <c r="P207" s="193"/>
      <c r="Q207" s="193"/>
      <c r="R207" s="193"/>
      <c r="S207" s="193"/>
      <c r="T207" s="193"/>
      <c r="U207" s="193"/>
      <c r="V207" s="193"/>
      <c r="W207" s="193"/>
      <c r="X207" s="193"/>
      <c r="Y207" s="193"/>
      <c r="AA207" t="s">
        <v>246</v>
      </c>
    </row>
    <row r="208" spans="4:43" x14ac:dyDescent="0.25">
      <c r="E208" s="60"/>
      <c r="F208" s="111" t="s">
        <v>247</v>
      </c>
      <c r="G208" s="113" t="s">
        <v>207</v>
      </c>
      <c r="I208" s="90"/>
      <c r="J208" s="169">
        <f t="shared" ref="J208:N211" si="7">SUM( J114, J123, J132, J141, J105 )</f>
        <v>20800.944795377112</v>
      </c>
      <c r="K208" s="169">
        <f t="shared" si="7"/>
        <v>1.5478688524590165</v>
      </c>
      <c r="L208" s="169">
        <f t="shared" si="7"/>
        <v>827.22975142621249</v>
      </c>
      <c r="M208" s="169">
        <f t="shared" si="7"/>
        <v>0</v>
      </c>
      <c r="N208" s="169">
        <f t="shared" si="7"/>
        <v>2232.9700000000003</v>
      </c>
      <c r="O208" s="112"/>
      <c r="P208" s="112"/>
      <c r="Q208" s="169">
        <f t="shared" ref="Q208:R211" si="8">SUM( Q114, Q123, Q132, Q141, Q105 )</f>
        <v>22.985167530544242</v>
      </c>
      <c r="R208" s="169">
        <f t="shared" si="8"/>
        <v>615.75443298228117</v>
      </c>
      <c r="S208" s="112"/>
      <c r="T208" s="169">
        <f>SUM( T114, T123, T132, T141, T105 )</f>
        <v>0</v>
      </c>
      <c r="U208" s="112"/>
      <c r="V208" s="112"/>
      <c r="W208" s="112"/>
      <c r="X208" s="112"/>
      <c r="Y208" s="112"/>
    </row>
    <row r="209" spans="5:27" x14ac:dyDescent="0.25">
      <c r="E209" s="60"/>
      <c r="F209" s="113" t="s">
        <v>248</v>
      </c>
      <c r="G209" s="113" t="s">
        <v>207</v>
      </c>
      <c r="J209" s="191">
        <f t="shared" si="7"/>
        <v>76551.123397066825</v>
      </c>
      <c r="K209" s="191">
        <f t="shared" si="7"/>
        <v>27.072885245901642</v>
      </c>
      <c r="L209" s="191">
        <f t="shared" si="7"/>
        <v>4284.0491582654049</v>
      </c>
      <c r="M209" s="191">
        <f t="shared" si="7"/>
        <v>0</v>
      </c>
      <c r="N209" s="191">
        <f t="shared" si="7"/>
        <v>10100.739000000001</v>
      </c>
      <c r="O209" s="114"/>
      <c r="P209" s="114"/>
      <c r="Q209" s="192">
        <f t="shared" si="8"/>
        <v>327.55783312906374</v>
      </c>
      <c r="R209" s="192">
        <f t="shared" si="8"/>
        <v>3480.0674308284702</v>
      </c>
      <c r="S209" s="114"/>
      <c r="T209" s="191">
        <f>SUM( T115, T124, T133, T142, T106 )</f>
        <v>0</v>
      </c>
      <c r="U209" s="114"/>
      <c r="V209" s="114"/>
      <c r="W209" s="114"/>
      <c r="X209" s="114"/>
      <c r="Y209" s="114"/>
    </row>
    <row r="210" spans="5:27" x14ac:dyDescent="0.25">
      <c r="E210" s="60"/>
      <c r="F210" s="113" t="s">
        <v>249</v>
      </c>
      <c r="G210" s="113" t="s">
        <v>207</v>
      </c>
      <c r="J210" s="191">
        <f t="shared" si="7"/>
        <v>66125.185859945428</v>
      </c>
      <c r="K210" s="191">
        <f t="shared" si="7"/>
        <v>137.73013114754099</v>
      </c>
      <c r="L210" s="191">
        <f t="shared" si="7"/>
        <v>3366.7652009805188</v>
      </c>
      <c r="M210" s="191">
        <f t="shared" si="7"/>
        <v>0</v>
      </c>
      <c r="N210" s="191">
        <f t="shared" si="7"/>
        <v>9848.9120000000003</v>
      </c>
      <c r="O210" s="114"/>
      <c r="P210" s="114"/>
      <c r="Q210" s="192">
        <f t="shared" si="8"/>
        <v>357.92923139806027</v>
      </c>
      <c r="R210" s="192">
        <f t="shared" si="8"/>
        <v>1554.6667235714485</v>
      </c>
      <c r="S210" s="114"/>
      <c r="T210" s="191">
        <f>SUM( T116, T125, T134, T143, T107 )</f>
        <v>0</v>
      </c>
      <c r="U210" s="114"/>
      <c r="V210" s="114"/>
      <c r="W210" s="114"/>
      <c r="X210" s="114"/>
      <c r="Y210" s="114"/>
    </row>
    <row r="211" spans="5:27" x14ac:dyDescent="0.25">
      <c r="E211" s="60"/>
      <c r="F211" s="113" t="s">
        <v>212</v>
      </c>
      <c r="G211" s="113" t="s">
        <v>212</v>
      </c>
      <c r="J211" s="191">
        <f t="shared" si="7"/>
        <v>59513</v>
      </c>
      <c r="K211" s="191">
        <f t="shared" si="7"/>
        <v>60</v>
      </c>
      <c r="L211" s="191">
        <f t="shared" si="7"/>
        <v>1328</v>
      </c>
      <c r="M211" s="191">
        <f t="shared" si="7"/>
        <v>0</v>
      </c>
      <c r="N211" s="191">
        <f t="shared" si="7"/>
        <v>146</v>
      </c>
      <c r="O211" s="114"/>
      <c r="P211" s="114"/>
      <c r="Q211" s="191">
        <f t="shared" si="8"/>
        <v>84</v>
      </c>
      <c r="R211" s="191">
        <f t="shared" si="8"/>
        <v>279</v>
      </c>
      <c r="S211" s="114"/>
      <c r="T211" s="191">
        <f>SUM( T117, T126, T135, T144, T108 )</f>
        <v>0</v>
      </c>
      <c r="U211" s="114"/>
      <c r="V211" s="114"/>
      <c r="W211" s="114"/>
      <c r="X211" s="114"/>
      <c r="Y211" s="114"/>
    </row>
    <row r="212" spans="5:27" x14ac:dyDescent="0.25">
      <c r="E212" s="60"/>
      <c r="F212" s="113" t="s">
        <v>250</v>
      </c>
      <c r="G212" s="113" t="s">
        <v>251</v>
      </c>
      <c r="J212" s="114"/>
      <c r="K212" s="114"/>
      <c r="L212" s="114"/>
      <c r="M212" s="114"/>
      <c r="N212" s="191">
        <f>SUM( N118, N127, N136, N145, N109 )</f>
        <v>22774</v>
      </c>
      <c r="O212" s="114"/>
      <c r="P212" s="114"/>
      <c r="Q212" s="114"/>
      <c r="R212" s="114"/>
      <c r="S212" s="114"/>
      <c r="T212" s="114"/>
      <c r="U212" s="114"/>
      <c r="V212" s="114"/>
      <c r="W212" s="114"/>
      <c r="X212" s="114"/>
      <c r="Y212" s="114"/>
    </row>
    <row r="213" spans="5:27" x14ac:dyDescent="0.25">
      <c r="E213" s="60"/>
      <c r="F213" s="113" t="s">
        <v>252</v>
      </c>
      <c r="G213" s="113" t="s">
        <v>251</v>
      </c>
      <c r="J213" s="114"/>
      <c r="K213" s="114"/>
      <c r="L213" s="114"/>
      <c r="M213" s="114"/>
      <c r="N213" s="191">
        <f>SUM( N119, N128, N137, N146, N110 )</f>
        <v>1519</v>
      </c>
      <c r="O213" s="114"/>
      <c r="P213" s="114"/>
      <c r="Q213" s="114"/>
      <c r="R213" s="114"/>
      <c r="S213" s="114"/>
      <c r="T213" s="114"/>
      <c r="U213" s="114"/>
      <c r="V213" s="114"/>
      <c r="W213" s="114"/>
      <c r="X213" s="114"/>
      <c r="Y213" s="114"/>
    </row>
    <row r="214" spans="5:27" x14ac:dyDescent="0.25">
      <c r="E214" s="60"/>
      <c r="F214" s="115" t="s">
        <v>253</v>
      </c>
      <c r="G214" s="115" t="s">
        <v>254</v>
      </c>
      <c r="H214" s="91"/>
      <c r="I214" s="91"/>
      <c r="J214" s="116"/>
      <c r="K214" s="116"/>
      <c r="L214" s="116"/>
      <c r="M214" s="116"/>
      <c r="N214" s="143">
        <f>SUM( N120, N129, N138, N147, N111 )</f>
        <v>1716.472</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256</v>
      </c>
      <c r="G216" s="115"/>
      <c r="H216" s="91"/>
      <c r="I216" t="s">
        <v>154</v>
      </c>
      <c r="J216" s="193"/>
      <c r="K216" s="193"/>
      <c r="L216" s="193"/>
      <c r="M216" s="193"/>
      <c r="N216" s="193"/>
      <c r="O216" s="193"/>
      <c r="P216" s="193"/>
      <c r="Q216" s="193"/>
      <c r="R216" s="193"/>
      <c r="S216" s="193"/>
      <c r="T216" s="193"/>
      <c r="U216" s="193"/>
      <c r="V216" s="193"/>
      <c r="W216" s="193"/>
      <c r="X216" s="193"/>
      <c r="Y216" s="193"/>
      <c r="AA216" t="s">
        <v>246</v>
      </c>
    </row>
    <row r="217" spans="5:27" x14ac:dyDescent="0.25">
      <c r="F217" s="111" t="s">
        <v>247</v>
      </c>
      <c r="G217" s="113" t="s">
        <v>207</v>
      </c>
      <c r="I217" s="90"/>
      <c r="J217" s="169">
        <f t="shared" ref="J217:T217" si="9">SUM( J161, J170, J179, J188, J152 )</f>
        <v>31822.604696478476</v>
      </c>
      <c r="K217" s="169">
        <f t="shared" si="9"/>
        <v>0</v>
      </c>
      <c r="L217" s="169">
        <f t="shared" si="9"/>
        <v>2265.8553601505128</v>
      </c>
      <c r="M217" s="169">
        <f t="shared" si="9"/>
        <v>0</v>
      </c>
      <c r="N217" s="169">
        <f t="shared" si="9"/>
        <v>15903.159000000003</v>
      </c>
      <c r="O217" s="169">
        <f t="shared" si="9"/>
        <v>3799.4790000000012</v>
      </c>
      <c r="P217" s="169">
        <f t="shared" si="9"/>
        <v>5121.0430000000006</v>
      </c>
      <c r="Q217" s="169">
        <f t="shared" si="9"/>
        <v>18.416884893455101</v>
      </c>
      <c r="R217" s="169">
        <f t="shared" si="9"/>
        <v>4185.4514724520768</v>
      </c>
      <c r="S217" s="169">
        <f t="shared" si="9"/>
        <v>0</v>
      </c>
      <c r="T217" s="169">
        <f t="shared" si="9"/>
        <v>4.4000000000000011E-2</v>
      </c>
      <c r="U217" s="112"/>
      <c r="V217" s="169">
        <f>SUM( V161, V170, V179, V188, V152 )</f>
        <v>0</v>
      </c>
      <c r="W217" s="112"/>
      <c r="X217" s="169">
        <f>SUM( X161, X170, X179, X188, X152 )</f>
        <v>0</v>
      </c>
      <c r="Y217" s="112"/>
    </row>
    <row r="218" spans="5:27" x14ac:dyDescent="0.25">
      <c r="F218" s="113" t="s">
        <v>248</v>
      </c>
      <c r="G218" s="113" t="s">
        <v>207</v>
      </c>
      <c r="J218" s="191">
        <f t="shared" ref="J218:T218" si="10">SUM( J162, J171, J180, J189, J153 )</f>
        <v>112500.30860353298</v>
      </c>
      <c r="K218" s="191">
        <f t="shared" si="10"/>
        <v>14.669999999999998</v>
      </c>
      <c r="L218" s="191">
        <f t="shared" si="10"/>
        <v>11712.568260746402</v>
      </c>
      <c r="M218" s="191">
        <f t="shared" si="10"/>
        <v>0</v>
      </c>
      <c r="N218" s="191">
        <f t="shared" si="10"/>
        <v>70438.644</v>
      </c>
      <c r="O218" s="191">
        <f t="shared" si="10"/>
        <v>16923.817999999999</v>
      </c>
      <c r="P218" s="191">
        <f t="shared" si="10"/>
        <v>23289.707999999999</v>
      </c>
      <c r="Q218" s="192">
        <f t="shared" si="10"/>
        <v>221.81066970532819</v>
      </c>
      <c r="R218" s="192">
        <f t="shared" si="10"/>
        <v>22119.511332572329</v>
      </c>
      <c r="S218" s="192">
        <f t="shared" si="10"/>
        <v>0</v>
      </c>
      <c r="T218" s="191">
        <f t="shared" si="10"/>
        <v>0.47600000000000015</v>
      </c>
      <c r="U218" s="114"/>
      <c r="V218" s="191">
        <f>SUM( V162, V171, V180, V189, V153 )</f>
        <v>0</v>
      </c>
      <c r="W218" s="114"/>
      <c r="X218" s="191">
        <f>SUM( X162, X171, X180, X189, X153 )</f>
        <v>0</v>
      </c>
      <c r="Y218" s="114"/>
    </row>
    <row r="219" spans="5:27" x14ac:dyDescent="0.25">
      <c r="F219" s="113" t="s">
        <v>249</v>
      </c>
      <c r="G219" s="113" t="s">
        <v>207</v>
      </c>
      <c r="J219" s="191">
        <f t="shared" ref="J219:T219" si="11">SUM( J163, J172, J181, J190, J154 )</f>
        <v>102434.88722672098</v>
      </c>
      <c r="K219" s="191">
        <f t="shared" si="11"/>
        <v>260.36899999999997</v>
      </c>
      <c r="L219" s="191">
        <f t="shared" si="11"/>
        <v>9474.7239904568705</v>
      </c>
      <c r="M219" s="191">
        <f t="shared" si="11"/>
        <v>0</v>
      </c>
      <c r="N219" s="191">
        <f t="shared" si="11"/>
        <v>63660.445000000007</v>
      </c>
      <c r="O219" s="191">
        <f t="shared" si="11"/>
        <v>15900.283000000003</v>
      </c>
      <c r="P219" s="191">
        <f t="shared" si="11"/>
        <v>28528.132000000001</v>
      </c>
      <c r="Q219" s="192">
        <f t="shared" si="11"/>
        <v>261.40423687505682</v>
      </c>
      <c r="R219" s="192">
        <f t="shared" si="11"/>
        <v>9947.1981126761348</v>
      </c>
      <c r="S219" s="192">
        <f t="shared" si="11"/>
        <v>0</v>
      </c>
      <c r="T219" s="191">
        <f t="shared" si="11"/>
        <v>1.202</v>
      </c>
      <c r="U219" s="114"/>
      <c r="V219" s="191">
        <f>SUM( V163, V172, V181, V190, V154 )</f>
        <v>0</v>
      </c>
      <c r="W219" s="114"/>
      <c r="X219" s="191">
        <f>SUM( X163, X172, X181, X190, X154 )</f>
        <v>0</v>
      </c>
      <c r="Y219" s="114"/>
    </row>
    <row r="220" spans="5:27" x14ac:dyDescent="0.25">
      <c r="F220" s="113" t="s">
        <v>212</v>
      </c>
      <c r="G220" s="113" t="s">
        <v>212</v>
      </c>
      <c r="J220" s="191">
        <f t="shared" ref="J220:T220" si="12">SUM( J164, J173, J182, J191, J155 )</f>
        <v>94595</v>
      </c>
      <c r="K220" s="191">
        <f t="shared" si="12"/>
        <v>70</v>
      </c>
      <c r="L220" s="191">
        <f t="shared" si="12"/>
        <v>1823</v>
      </c>
      <c r="M220" s="191">
        <f t="shared" si="12"/>
        <v>0</v>
      </c>
      <c r="N220" s="191">
        <f t="shared" si="12"/>
        <v>526</v>
      </c>
      <c r="O220" s="191">
        <f t="shared" si="12"/>
        <v>45</v>
      </c>
      <c r="P220" s="191">
        <f t="shared" si="12"/>
        <v>30</v>
      </c>
      <c r="Q220" s="191">
        <f t="shared" si="12"/>
        <v>54</v>
      </c>
      <c r="R220" s="191">
        <f t="shared" si="12"/>
        <v>1872</v>
      </c>
      <c r="S220" s="191">
        <f t="shared" si="12"/>
        <v>0</v>
      </c>
      <c r="T220" s="191">
        <f t="shared" si="12"/>
        <v>1</v>
      </c>
      <c r="U220" s="114"/>
      <c r="V220" s="191">
        <f>SUM( V164, V173, V182, V191, V155 )</f>
        <v>0</v>
      </c>
      <c r="W220" s="114"/>
      <c r="X220" s="191">
        <f>SUM( X164, X173, X182, X191, X155 )</f>
        <v>0</v>
      </c>
      <c r="Y220" s="114"/>
    </row>
    <row r="221" spans="5:27" x14ac:dyDescent="0.25">
      <c r="F221" s="113" t="s">
        <v>250</v>
      </c>
      <c r="G221" s="113" t="s">
        <v>251</v>
      </c>
      <c r="J221" s="114"/>
      <c r="K221" s="114"/>
      <c r="L221" s="114"/>
      <c r="M221" s="114"/>
      <c r="N221" s="191">
        <f t="shared" ref="N221:P223" si="13">SUM( N165, N174, N183, N192, N156 )</f>
        <v>121777</v>
      </c>
      <c r="O221" s="191">
        <f t="shared" si="13"/>
        <v>27611</v>
      </c>
      <c r="P221" s="191">
        <f t="shared" si="13"/>
        <v>39238</v>
      </c>
      <c r="Q221" s="114"/>
      <c r="R221" s="114"/>
      <c r="S221" s="114"/>
      <c r="T221" s="114"/>
      <c r="U221" s="114"/>
      <c r="V221" s="114"/>
      <c r="W221" s="114"/>
      <c r="X221" s="114"/>
      <c r="Y221" s="114"/>
    </row>
    <row r="222" spans="5:27" x14ac:dyDescent="0.25">
      <c r="F222" s="113" t="s">
        <v>252</v>
      </c>
      <c r="G222" s="113" t="s">
        <v>251</v>
      </c>
      <c r="J222" s="114"/>
      <c r="K222" s="114"/>
      <c r="L222" s="114"/>
      <c r="M222" s="114"/>
      <c r="N222" s="191">
        <f t="shared" si="13"/>
        <v>1571</v>
      </c>
      <c r="O222" s="191">
        <f t="shared" si="13"/>
        <v>0</v>
      </c>
      <c r="P222" s="191">
        <f t="shared" si="13"/>
        <v>241</v>
      </c>
      <c r="Q222" s="114"/>
      <c r="R222" s="114"/>
      <c r="S222" s="114"/>
      <c r="T222" s="114"/>
      <c r="U222" s="114"/>
      <c r="V222" s="114"/>
      <c r="W222" s="114"/>
      <c r="X222" s="114"/>
      <c r="Y222" s="114"/>
    </row>
    <row r="223" spans="5:27" x14ac:dyDescent="0.25">
      <c r="F223" s="115" t="s">
        <v>253</v>
      </c>
      <c r="G223" s="115" t="s">
        <v>254</v>
      </c>
      <c r="H223" s="91"/>
      <c r="I223" s="91"/>
      <c r="J223" s="116"/>
      <c r="K223" s="116"/>
      <c r="L223" s="116"/>
      <c r="M223" s="116"/>
      <c r="N223" s="143">
        <f t="shared" si="13"/>
        <v>8120.4459999999999</v>
      </c>
      <c r="O223" s="143">
        <f t="shared" si="13"/>
        <v>1590.6420000000001</v>
      </c>
      <c r="P223" s="143">
        <f t="shared" si="13"/>
        <v>1747.8820000000001</v>
      </c>
      <c r="Q223" s="116"/>
      <c r="R223" s="116"/>
      <c r="S223" s="116"/>
      <c r="T223" s="143">
        <f>SUM( T167, T176, T185, T194, T158 )</f>
        <v>0.41199999999999992</v>
      </c>
      <c r="U223" s="116"/>
      <c r="V223" s="143">
        <f>SUM( V167, V176, V185, V194, V158 )</f>
        <v>0</v>
      </c>
      <c r="W223" s="116"/>
      <c r="X223" s="143">
        <f>SUM( X167, X176, X185, X194, X158 )</f>
        <v>0</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444</v>
      </c>
      <c r="AQ227" s="3"/>
    </row>
    <row r="228" spans="3:43" x14ac:dyDescent="0.25">
      <c r="C228" s="60"/>
      <c r="AQ228" s="3"/>
    </row>
    <row r="229" spans="3:43" x14ac:dyDescent="0.25">
      <c r="C229" s="71"/>
      <c r="E229" s="60" t="s">
        <v>156</v>
      </c>
      <c r="I229" t="s">
        <v>154</v>
      </c>
      <c r="AA229" t="s">
        <v>309</v>
      </c>
      <c r="AQ229" s="3"/>
    </row>
    <row r="230" spans="3:43" x14ac:dyDescent="0.25">
      <c r="C230" s="71"/>
      <c r="E230" s="60"/>
      <c r="AQ230" s="3"/>
    </row>
    <row r="231" spans="3:43" x14ac:dyDescent="0.25">
      <c r="F231" s="89" t="s">
        <v>445</v>
      </c>
      <c r="G231" s="89" t="s">
        <v>207</v>
      </c>
      <c r="J231" s="141">
        <f t="shared" ref="J231:Y231" si="14">J$199</f>
        <v>703559.81712934223</v>
      </c>
      <c r="K231" s="141">
        <f t="shared" si="14"/>
        <v>583.49065558298639</v>
      </c>
      <c r="L231" s="141">
        <f t="shared" si="14"/>
        <v>190255.3136382598</v>
      </c>
      <c r="M231" s="141">
        <f t="shared" si="14"/>
        <v>483.15300000000002</v>
      </c>
      <c r="N231" s="141">
        <f t="shared" si="14"/>
        <v>245911.5191355928</v>
      </c>
      <c r="O231" s="141">
        <f t="shared" si="14"/>
        <v>24524.424318783538</v>
      </c>
      <c r="P231" s="141">
        <f t="shared" si="14"/>
        <v>300263.66389952775</v>
      </c>
      <c r="Q231" s="141">
        <f t="shared" si="14"/>
        <v>10411.538342882297</v>
      </c>
      <c r="R231" s="141">
        <f t="shared" si="14"/>
        <v>8914.4630574141829</v>
      </c>
      <c r="S231" s="141">
        <f t="shared" si="14"/>
        <v>52.1242510546167</v>
      </c>
      <c r="T231" s="141">
        <f t="shared" si="14"/>
        <v>5844.5299999999988</v>
      </c>
      <c r="U231" s="141">
        <f t="shared" si="14"/>
        <v>0</v>
      </c>
      <c r="V231" s="141">
        <f t="shared" si="14"/>
        <v>64.59099999999998</v>
      </c>
      <c r="W231" s="141">
        <f t="shared" si="14"/>
        <v>0</v>
      </c>
      <c r="X231" s="141">
        <f t="shared" si="14"/>
        <v>115415.10300000002</v>
      </c>
      <c r="Y231" s="141">
        <f t="shared" si="14"/>
        <v>0</v>
      </c>
      <c r="AQ231" s="3"/>
    </row>
    <row r="232" spans="3:43" x14ac:dyDescent="0.25">
      <c r="F232" s="89" t="s">
        <v>446</v>
      </c>
      <c r="G232" s="89" t="s">
        <v>207</v>
      </c>
      <c r="J232" s="141">
        <f t="shared" ref="J232:Y232" si="15">J$208</f>
        <v>20800.944795377112</v>
      </c>
      <c r="K232" s="141">
        <f t="shared" si="15"/>
        <v>1.5478688524590165</v>
      </c>
      <c r="L232" s="141">
        <f t="shared" si="15"/>
        <v>827.22975142621249</v>
      </c>
      <c r="M232" s="141">
        <f t="shared" si="15"/>
        <v>0</v>
      </c>
      <c r="N232" s="141">
        <f t="shared" si="15"/>
        <v>2232.9700000000003</v>
      </c>
      <c r="O232" s="141">
        <f t="shared" si="15"/>
        <v>0</v>
      </c>
      <c r="P232" s="141">
        <f t="shared" si="15"/>
        <v>0</v>
      </c>
      <c r="Q232" s="141">
        <f t="shared" si="15"/>
        <v>22.985167530544242</v>
      </c>
      <c r="R232" s="141">
        <f t="shared" si="15"/>
        <v>615.75443298228117</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447</v>
      </c>
      <c r="G233" s="89" t="s">
        <v>207</v>
      </c>
      <c r="J233" s="141">
        <f t="shared" ref="J233:Y233" si="16">J$217</f>
        <v>31822.604696478476</v>
      </c>
      <c r="K233" s="141">
        <f t="shared" si="16"/>
        <v>0</v>
      </c>
      <c r="L233" s="141">
        <f t="shared" si="16"/>
        <v>2265.8553601505128</v>
      </c>
      <c r="M233" s="141">
        <f t="shared" si="16"/>
        <v>0</v>
      </c>
      <c r="N233" s="141">
        <f t="shared" si="16"/>
        <v>15903.159000000003</v>
      </c>
      <c r="O233" s="141">
        <f t="shared" si="16"/>
        <v>3799.4790000000012</v>
      </c>
      <c r="P233" s="141">
        <f t="shared" si="16"/>
        <v>5121.0430000000006</v>
      </c>
      <c r="Q233" s="141">
        <f t="shared" si="16"/>
        <v>18.416884893455101</v>
      </c>
      <c r="R233" s="141">
        <f t="shared" si="16"/>
        <v>4185.4514724520768</v>
      </c>
      <c r="S233" s="141">
        <f t="shared" si="16"/>
        <v>0</v>
      </c>
      <c r="T233" s="141">
        <f t="shared" si="16"/>
        <v>4.4000000000000011E-2</v>
      </c>
      <c r="U233" s="141">
        <f t="shared" si="16"/>
        <v>0</v>
      </c>
      <c r="V233" s="141">
        <f t="shared" si="16"/>
        <v>0</v>
      </c>
      <c r="W233" s="141">
        <f t="shared" si="16"/>
        <v>0</v>
      </c>
      <c r="X233" s="141">
        <f t="shared" si="16"/>
        <v>0</v>
      </c>
      <c r="Y233" s="141">
        <f t="shared" si="16"/>
        <v>0</v>
      </c>
      <c r="AQ233" s="3"/>
    </row>
    <row r="234" spans="3:43" x14ac:dyDescent="0.25">
      <c r="F234" s="89" t="s">
        <v>448</v>
      </c>
      <c r="G234" s="89" t="s">
        <v>167</v>
      </c>
      <c r="J234" s="194">
        <f>IF(J$39, J$45, J$34)</f>
        <v>0.4003457929697154</v>
      </c>
      <c r="K234" s="194">
        <f t="shared" ref="K234:Y234" si="17">IF(K$39, K$45, K$34)</f>
        <v>0.4003457929697154</v>
      </c>
      <c r="L234" s="194">
        <f t="shared" si="17"/>
        <v>0.4003457929697154</v>
      </c>
      <c r="M234" s="194">
        <f t="shared" si="17"/>
        <v>0.4003457929697154</v>
      </c>
      <c r="N234" s="194">
        <f t="shared" si="17"/>
        <v>0.4003457929697154</v>
      </c>
      <c r="O234" s="194">
        <f t="shared" si="17"/>
        <v>0</v>
      </c>
      <c r="P234" s="194">
        <f t="shared" si="17"/>
        <v>0</v>
      </c>
      <c r="Q234" s="194">
        <f t="shared" si="17"/>
        <v>0.4003457929697154</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449</v>
      </c>
      <c r="G235" s="89" t="s">
        <v>167</v>
      </c>
      <c r="J235" s="194">
        <f>IF(J$39, J$45, J$35)</f>
        <v>0.60435784445160401</v>
      </c>
      <c r="K235" s="194">
        <f t="shared" ref="K235:Y235" si="18">IF(K$39, K$45, K$35)</f>
        <v>0.60435784445160401</v>
      </c>
      <c r="L235" s="194">
        <f t="shared" si="18"/>
        <v>0.60435784445160401</v>
      </c>
      <c r="M235" s="194">
        <f t="shared" si="18"/>
        <v>0.60435784445160401</v>
      </c>
      <c r="N235" s="194">
        <f t="shared" si="18"/>
        <v>0.60435784445160401</v>
      </c>
      <c r="O235" s="194">
        <f t="shared" si="18"/>
        <v>0.33898658826357436</v>
      </c>
      <c r="P235" s="194">
        <f t="shared" si="18"/>
        <v>0.24054198685119213</v>
      </c>
      <c r="Q235" s="194">
        <f t="shared" si="18"/>
        <v>0.60435784445160401</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450</v>
      </c>
      <c r="G236" s="89" t="s">
        <v>207</v>
      </c>
      <c r="J236" s="141">
        <f t="shared" ref="J236:Y236" si="19">J232 * (1 - J234)</f>
        <v>12473.374056752587</v>
      </c>
      <c r="K236" s="141">
        <f t="shared" si="19"/>
        <v>0.92818606930818814</v>
      </c>
      <c r="L236" s="141">
        <f t="shared" si="19"/>
        <v>496.05180062334489</v>
      </c>
      <c r="M236" s="141">
        <f t="shared" si="19"/>
        <v>0</v>
      </c>
      <c r="N236" s="141">
        <f t="shared" si="19"/>
        <v>1339.0098546724148</v>
      </c>
      <c r="O236" s="141">
        <f t="shared" si="19"/>
        <v>0</v>
      </c>
      <c r="P236" s="141">
        <f t="shared" si="19"/>
        <v>0</v>
      </c>
      <c r="Q236" s="141">
        <f t="shared" si="19"/>
        <v>13.783152408986753</v>
      </c>
      <c r="R236" s="141">
        <f t="shared" si="19"/>
        <v>615.75443298228117</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451</v>
      </c>
      <c r="G237" s="96" t="s">
        <v>207</v>
      </c>
      <c r="H237" s="91"/>
      <c r="I237" s="91"/>
      <c r="J237" s="143">
        <f t="shared" ref="J237:Y237" si="20">J233 * (1 - J235)</f>
        <v>12590.363917279254</v>
      </c>
      <c r="K237" s="143">
        <f t="shared" si="20"/>
        <v>0</v>
      </c>
      <c r="L237" s="143">
        <f t="shared" si="20"/>
        <v>896.46789885083604</v>
      </c>
      <c r="M237" s="143">
        <f t="shared" si="20"/>
        <v>0</v>
      </c>
      <c r="N237" s="143">
        <f t="shared" si="20"/>
        <v>6291.9601067888752</v>
      </c>
      <c r="O237" s="143">
        <f t="shared" si="20"/>
        <v>2511.5065766109037</v>
      </c>
      <c r="P237" s="143">
        <f t="shared" si="20"/>
        <v>3889.2171420296113</v>
      </c>
      <c r="Q237" s="143">
        <f t="shared" si="20"/>
        <v>7.2864960377332677</v>
      </c>
      <c r="R237" s="143">
        <f t="shared" si="20"/>
        <v>4185.4514724520768</v>
      </c>
      <c r="S237" s="143">
        <f t="shared" si="20"/>
        <v>0</v>
      </c>
      <c r="T237" s="143">
        <f t="shared" si="20"/>
        <v>4.4000000000000011E-2</v>
      </c>
      <c r="U237" s="143">
        <f t="shared" si="20"/>
        <v>0</v>
      </c>
      <c r="V237" s="143">
        <f t="shared" si="20"/>
        <v>0</v>
      </c>
      <c r="W237" s="143">
        <f t="shared" si="20"/>
        <v>0</v>
      </c>
      <c r="X237" s="143">
        <f t="shared" si="20"/>
        <v>0</v>
      </c>
      <c r="Y237" s="143">
        <f t="shared" si="20"/>
        <v>0</v>
      </c>
      <c r="AQ237" s="3"/>
    </row>
    <row r="238" spans="3:43" x14ac:dyDescent="0.25">
      <c r="F238" s="89" t="s">
        <v>452</v>
      </c>
      <c r="G238" s="89" t="s">
        <v>207</v>
      </c>
      <c r="J238" s="164">
        <f t="shared" ref="J238:Y238" si="21">J231 + J236 + J237</f>
        <v>728623.55510337406</v>
      </c>
      <c r="K238" s="164">
        <f t="shared" si="21"/>
        <v>584.41884165229453</v>
      </c>
      <c r="L238" s="164">
        <f t="shared" si="21"/>
        <v>191647.83333773396</v>
      </c>
      <c r="M238" s="164">
        <f t="shared" si="21"/>
        <v>483.15300000000002</v>
      </c>
      <c r="N238" s="164">
        <f t="shared" si="21"/>
        <v>253542.48909705409</v>
      </c>
      <c r="O238" s="164">
        <f t="shared" si="21"/>
        <v>27035.930895394442</v>
      </c>
      <c r="P238" s="164">
        <f t="shared" si="21"/>
        <v>304152.88104155735</v>
      </c>
      <c r="Q238" s="164">
        <f t="shared" si="21"/>
        <v>10432.607991329018</v>
      </c>
      <c r="R238" s="164">
        <f t="shared" si="21"/>
        <v>13715.66896284854</v>
      </c>
      <c r="S238" s="164">
        <f t="shared" si="21"/>
        <v>52.1242510546167</v>
      </c>
      <c r="T238" s="164">
        <f t="shared" si="21"/>
        <v>5844.5739999999987</v>
      </c>
      <c r="U238" s="164">
        <f t="shared" si="21"/>
        <v>0</v>
      </c>
      <c r="V238" s="164">
        <f t="shared" si="21"/>
        <v>64.59099999999998</v>
      </c>
      <c r="W238" s="164">
        <f t="shared" si="21"/>
        <v>0</v>
      </c>
      <c r="X238" s="164">
        <f t="shared" si="21"/>
        <v>115415.10300000002</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157</v>
      </c>
      <c r="I240" t="s">
        <v>154</v>
      </c>
      <c r="J240" s="101"/>
      <c r="K240" s="101"/>
      <c r="L240" s="101"/>
      <c r="M240" s="101"/>
      <c r="N240" s="101"/>
      <c r="O240" s="101"/>
      <c r="P240" s="101"/>
      <c r="Q240" s="101"/>
      <c r="R240" s="101"/>
      <c r="S240" s="101"/>
      <c r="T240" s="101"/>
      <c r="U240" s="101"/>
      <c r="V240" s="101"/>
      <c r="W240" s="101"/>
      <c r="X240" s="101"/>
      <c r="Y240" s="101"/>
      <c r="AA240" t="s">
        <v>309</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445</v>
      </c>
      <c r="G242" s="89" t="s">
        <v>207</v>
      </c>
      <c r="J242" s="141">
        <f t="shared" ref="J242:Y242" si="22">J$200</f>
        <v>2447600.8517030654</v>
      </c>
      <c r="K242" s="141">
        <f t="shared" si="22"/>
        <v>16234.514009424238</v>
      </c>
      <c r="L242" s="141">
        <f t="shared" si="22"/>
        <v>987075.69083052059</v>
      </c>
      <c r="M242" s="141">
        <f t="shared" si="22"/>
        <v>7645.8209999999999</v>
      </c>
      <c r="N242" s="141">
        <f t="shared" si="22"/>
        <v>1184309.6850524526</v>
      </c>
      <c r="O242" s="141">
        <f t="shared" si="22"/>
        <v>114693.91274630351</v>
      </c>
      <c r="P242" s="141">
        <f t="shared" si="22"/>
        <v>1402084.1190105588</v>
      </c>
      <c r="Q242" s="141">
        <f t="shared" si="22"/>
        <v>60982.689512370809</v>
      </c>
      <c r="R242" s="141">
        <f t="shared" si="22"/>
        <v>49280.917648912247</v>
      </c>
      <c r="S242" s="141">
        <f t="shared" si="22"/>
        <v>227.37680998266927</v>
      </c>
      <c r="T242" s="141">
        <f t="shared" si="22"/>
        <v>27694.188000000006</v>
      </c>
      <c r="U242" s="141">
        <f t="shared" si="22"/>
        <v>0</v>
      </c>
      <c r="V242" s="141">
        <f t="shared" si="22"/>
        <v>326.78199999999998</v>
      </c>
      <c r="W242" s="141">
        <f t="shared" si="22"/>
        <v>0</v>
      </c>
      <c r="X242" s="141">
        <f t="shared" si="22"/>
        <v>421753.54499999998</v>
      </c>
      <c r="Y242" s="141">
        <f t="shared" si="22"/>
        <v>0</v>
      </c>
      <c r="AQ242" s="3"/>
    </row>
    <row r="243" spans="5:43" x14ac:dyDescent="0.25">
      <c r="F243" s="89" t="s">
        <v>446</v>
      </c>
      <c r="G243" s="89" t="s">
        <v>207</v>
      </c>
      <c r="J243" s="141">
        <f t="shared" ref="J243:Y243" si="23">J$209</f>
        <v>76551.123397066825</v>
      </c>
      <c r="K243" s="141">
        <f t="shared" si="23"/>
        <v>27.072885245901642</v>
      </c>
      <c r="L243" s="141">
        <f t="shared" si="23"/>
        <v>4284.0491582654049</v>
      </c>
      <c r="M243" s="141">
        <f t="shared" si="23"/>
        <v>0</v>
      </c>
      <c r="N243" s="141">
        <f t="shared" si="23"/>
        <v>10100.739000000001</v>
      </c>
      <c r="O243" s="141">
        <f t="shared" si="23"/>
        <v>0</v>
      </c>
      <c r="P243" s="141">
        <f t="shared" si="23"/>
        <v>0</v>
      </c>
      <c r="Q243" s="141">
        <f t="shared" si="23"/>
        <v>327.55783312906374</v>
      </c>
      <c r="R243" s="141">
        <f t="shared" si="23"/>
        <v>3480.0674308284702</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447</v>
      </c>
      <c r="G244" s="89" t="s">
        <v>207</v>
      </c>
      <c r="J244" s="141">
        <f t="shared" ref="J244:Y244" si="24">J$218</f>
        <v>112500.30860353298</v>
      </c>
      <c r="K244" s="141">
        <f t="shared" si="24"/>
        <v>14.669999999999998</v>
      </c>
      <c r="L244" s="141">
        <f t="shared" si="24"/>
        <v>11712.568260746402</v>
      </c>
      <c r="M244" s="141">
        <f t="shared" si="24"/>
        <v>0</v>
      </c>
      <c r="N244" s="141">
        <f t="shared" si="24"/>
        <v>70438.644</v>
      </c>
      <c r="O244" s="141">
        <f t="shared" si="24"/>
        <v>16923.817999999999</v>
      </c>
      <c r="P244" s="141">
        <f t="shared" si="24"/>
        <v>23289.707999999999</v>
      </c>
      <c r="Q244" s="141">
        <f t="shared" si="24"/>
        <v>221.81066970532819</v>
      </c>
      <c r="R244" s="141">
        <f t="shared" si="24"/>
        <v>22119.511332572329</v>
      </c>
      <c r="S244" s="141">
        <f t="shared" si="24"/>
        <v>0</v>
      </c>
      <c r="T244" s="141">
        <f t="shared" si="24"/>
        <v>0.47600000000000015</v>
      </c>
      <c r="U244" s="141">
        <f t="shared" si="24"/>
        <v>0</v>
      </c>
      <c r="V244" s="141">
        <f t="shared" si="24"/>
        <v>0</v>
      </c>
      <c r="W244" s="141">
        <f t="shared" si="24"/>
        <v>0</v>
      </c>
      <c r="X244" s="141">
        <f t="shared" si="24"/>
        <v>0</v>
      </c>
      <c r="Y244" s="141">
        <f t="shared" si="24"/>
        <v>0</v>
      </c>
      <c r="AQ244" s="3"/>
    </row>
    <row r="245" spans="5:43" x14ac:dyDescent="0.25">
      <c r="F245" s="89" t="s">
        <v>448</v>
      </c>
      <c r="G245" s="89" t="s">
        <v>167</v>
      </c>
      <c r="J245" s="195">
        <f t="shared" ref="J245:Y245" si="25">IF(J$39, J$45, J$34)</f>
        <v>0.4003457929697154</v>
      </c>
      <c r="K245" s="195">
        <f t="shared" si="25"/>
        <v>0.4003457929697154</v>
      </c>
      <c r="L245" s="195">
        <f t="shared" si="25"/>
        <v>0.4003457929697154</v>
      </c>
      <c r="M245" s="195">
        <f t="shared" si="25"/>
        <v>0.4003457929697154</v>
      </c>
      <c r="N245" s="195">
        <f t="shared" si="25"/>
        <v>0.4003457929697154</v>
      </c>
      <c r="O245" s="195">
        <f t="shared" si="25"/>
        <v>0</v>
      </c>
      <c r="P245" s="195">
        <f t="shared" si="25"/>
        <v>0</v>
      </c>
      <c r="Q245" s="195">
        <f t="shared" si="25"/>
        <v>0.4003457929697154</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449</v>
      </c>
      <c r="G246" s="89" t="s">
        <v>167</v>
      </c>
      <c r="J246" s="195">
        <f t="shared" ref="J246:Y246" si="26">IF(J$39, J$45, J$35)</f>
        <v>0.60435784445160401</v>
      </c>
      <c r="K246" s="195">
        <f t="shared" si="26"/>
        <v>0.60435784445160401</v>
      </c>
      <c r="L246" s="195">
        <f t="shared" si="26"/>
        <v>0.60435784445160401</v>
      </c>
      <c r="M246" s="195">
        <f t="shared" si="26"/>
        <v>0.60435784445160401</v>
      </c>
      <c r="N246" s="195">
        <f t="shared" si="26"/>
        <v>0.60435784445160401</v>
      </c>
      <c r="O246" s="195">
        <f t="shared" si="26"/>
        <v>0.33898658826357436</v>
      </c>
      <c r="P246" s="195">
        <f t="shared" si="26"/>
        <v>0.24054198685119213</v>
      </c>
      <c r="Q246" s="195">
        <f t="shared" si="26"/>
        <v>0.60435784445160401</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450</v>
      </c>
      <c r="G247" s="89" t="s">
        <v>207</v>
      </c>
      <c r="J247" s="141">
        <f t="shared" ref="J247:Y247" si="27">J243 * (1 - J245)</f>
        <v>45904.203197945571</v>
      </c>
      <c r="K247" s="141">
        <f t="shared" si="27"/>
        <v>16.234369534153039</v>
      </c>
      <c r="L247" s="141">
        <f t="shared" si="27"/>
        <v>2568.9481008783996</v>
      </c>
      <c r="M247" s="141">
        <f t="shared" si="27"/>
        <v>0</v>
      </c>
      <c r="N247" s="141">
        <f t="shared" si="27"/>
        <v>6056.9506354648711</v>
      </c>
      <c r="O247" s="141">
        <f t="shared" si="27"/>
        <v>0</v>
      </c>
      <c r="P247" s="141">
        <f t="shared" si="27"/>
        <v>0</v>
      </c>
      <c r="Q247" s="141">
        <f t="shared" si="27"/>
        <v>196.42143268156701</v>
      </c>
      <c r="R247" s="141">
        <f t="shared" si="27"/>
        <v>3480.0674308284702</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451</v>
      </c>
      <c r="G248" s="96" t="s">
        <v>207</v>
      </c>
      <c r="H248" s="91"/>
      <c r="I248" s="91"/>
      <c r="J248" s="143">
        <f t="shared" ref="J248:Y248" si="28">J244 * (1 - J246)</f>
        <v>44509.864595761544</v>
      </c>
      <c r="K248" s="143">
        <f t="shared" si="28"/>
        <v>5.8040704218949681</v>
      </c>
      <c r="L248" s="143">
        <f t="shared" si="28"/>
        <v>4633.9857536894342</v>
      </c>
      <c r="M248" s="143">
        <f t="shared" si="28"/>
        <v>0</v>
      </c>
      <c r="N248" s="143">
        <f t="shared" si="28"/>
        <v>27868.49694606609</v>
      </c>
      <c r="O248" s="143">
        <f t="shared" si="28"/>
        <v>11186.870675786331</v>
      </c>
      <c r="P248" s="143">
        <f t="shared" si="28"/>
        <v>17687.555364495896</v>
      </c>
      <c r="Q248" s="143">
        <f t="shared" si="28"/>
        <v>87.757651485849337</v>
      </c>
      <c r="R248" s="143">
        <f t="shared" si="28"/>
        <v>22119.511332572329</v>
      </c>
      <c r="S248" s="143">
        <f t="shared" si="28"/>
        <v>0</v>
      </c>
      <c r="T248" s="143">
        <f t="shared" si="28"/>
        <v>0.47600000000000015</v>
      </c>
      <c r="U248" s="143">
        <f t="shared" si="28"/>
        <v>0</v>
      </c>
      <c r="V248" s="143">
        <f t="shared" si="28"/>
        <v>0</v>
      </c>
      <c r="W248" s="143">
        <f t="shared" si="28"/>
        <v>0</v>
      </c>
      <c r="X248" s="143">
        <f t="shared" si="28"/>
        <v>0</v>
      </c>
      <c r="Y248" s="143">
        <f t="shared" si="28"/>
        <v>0</v>
      </c>
      <c r="AQ248" s="3"/>
    </row>
    <row r="249" spans="5:43" x14ac:dyDescent="0.25">
      <c r="F249" s="89" t="s">
        <v>452</v>
      </c>
      <c r="G249" s="89" t="s">
        <v>207</v>
      </c>
      <c r="J249" s="164">
        <f t="shared" ref="J249:Y249" si="29">J242 + J247 + J248</f>
        <v>2538014.9194967723</v>
      </c>
      <c r="K249" s="164">
        <f t="shared" si="29"/>
        <v>16256.552449380286</v>
      </c>
      <c r="L249" s="164">
        <f t="shared" si="29"/>
        <v>994278.62468508841</v>
      </c>
      <c r="M249" s="164">
        <f t="shared" si="29"/>
        <v>7645.8209999999999</v>
      </c>
      <c r="N249" s="164">
        <f t="shared" si="29"/>
        <v>1218235.1326339836</v>
      </c>
      <c r="O249" s="164">
        <f t="shared" si="29"/>
        <v>125880.78342208984</v>
      </c>
      <c r="P249" s="164">
        <f t="shared" si="29"/>
        <v>1419771.6743750547</v>
      </c>
      <c r="Q249" s="164">
        <f t="shared" si="29"/>
        <v>61266.868596538225</v>
      </c>
      <c r="R249" s="164">
        <f t="shared" si="29"/>
        <v>74880.496412313048</v>
      </c>
      <c r="S249" s="164">
        <f t="shared" si="29"/>
        <v>227.37680998266927</v>
      </c>
      <c r="T249" s="164">
        <f t="shared" si="29"/>
        <v>27694.664000000004</v>
      </c>
      <c r="U249" s="164">
        <f t="shared" si="29"/>
        <v>0</v>
      </c>
      <c r="V249" s="164">
        <f t="shared" si="29"/>
        <v>326.78199999999998</v>
      </c>
      <c r="W249" s="164">
        <f t="shared" si="29"/>
        <v>0</v>
      </c>
      <c r="X249" s="164">
        <f t="shared" si="29"/>
        <v>421753.54499999998</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158</v>
      </c>
      <c r="I251" t="s">
        <v>154</v>
      </c>
      <c r="J251" s="101"/>
      <c r="K251" s="101"/>
      <c r="L251" s="101"/>
      <c r="M251" s="101"/>
      <c r="N251" s="101"/>
      <c r="O251" s="101"/>
      <c r="P251" s="101"/>
      <c r="Q251" s="101"/>
      <c r="R251" s="101"/>
      <c r="S251" s="101"/>
      <c r="T251" s="101"/>
      <c r="U251" s="101"/>
      <c r="V251" s="101"/>
      <c r="W251" s="101"/>
      <c r="X251" s="101"/>
      <c r="Y251" s="101"/>
      <c r="AA251" t="s">
        <v>309</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445</v>
      </c>
      <c r="G253" s="89" t="s">
        <v>207</v>
      </c>
      <c r="J253" s="141">
        <f t="shared" ref="J253:Y253" si="30">J$201</f>
        <v>2346502.0044514849</v>
      </c>
      <c r="K253" s="141">
        <f t="shared" si="30"/>
        <v>163317.30533499279</v>
      </c>
      <c r="L253" s="141">
        <f t="shared" si="30"/>
        <v>816323.36258053593</v>
      </c>
      <c r="M253" s="141">
        <f t="shared" si="30"/>
        <v>33432.284</v>
      </c>
      <c r="N253" s="141">
        <f t="shared" si="30"/>
        <v>1052944.0119803445</v>
      </c>
      <c r="O253" s="141">
        <f t="shared" si="30"/>
        <v>117085.58876896517</v>
      </c>
      <c r="P253" s="141">
        <f t="shared" si="30"/>
        <v>1541810.3868566044</v>
      </c>
      <c r="Q253" s="141">
        <f t="shared" si="30"/>
        <v>138883.6383279369</v>
      </c>
      <c r="R253" s="141">
        <f t="shared" si="30"/>
        <v>22702.507450935238</v>
      </c>
      <c r="S253" s="141">
        <f t="shared" si="30"/>
        <v>201.46913946310823</v>
      </c>
      <c r="T253" s="141">
        <f t="shared" si="30"/>
        <v>29330.011000000002</v>
      </c>
      <c r="U253" s="141">
        <f t="shared" si="30"/>
        <v>0</v>
      </c>
      <c r="V253" s="141">
        <f t="shared" si="30"/>
        <v>309.74</v>
      </c>
      <c r="W253" s="141">
        <f t="shared" si="30"/>
        <v>0</v>
      </c>
      <c r="X253" s="141">
        <f t="shared" si="30"/>
        <v>491598.924</v>
      </c>
      <c r="Y253" s="141">
        <f t="shared" si="30"/>
        <v>0</v>
      </c>
      <c r="AQ253" s="3"/>
    </row>
    <row r="254" spans="5:43" x14ac:dyDescent="0.25">
      <c r="F254" s="89" t="s">
        <v>446</v>
      </c>
      <c r="G254" s="89" t="s">
        <v>207</v>
      </c>
      <c r="J254" s="141">
        <f t="shared" ref="J254:Y254" si="31">J$210</f>
        <v>66125.185859945428</v>
      </c>
      <c r="K254" s="141">
        <f t="shared" si="31"/>
        <v>137.73013114754099</v>
      </c>
      <c r="L254" s="141">
        <f t="shared" si="31"/>
        <v>3366.7652009805188</v>
      </c>
      <c r="M254" s="141">
        <f t="shared" si="31"/>
        <v>0</v>
      </c>
      <c r="N254" s="141">
        <f t="shared" si="31"/>
        <v>9848.9120000000003</v>
      </c>
      <c r="O254" s="141">
        <f t="shared" si="31"/>
        <v>0</v>
      </c>
      <c r="P254" s="141">
        <f t="shared" si="31"/>
        <v>0</v>
      </c>
      <c r="Q254" s="141">
        <f t="shared" si="31"/>
        <v>357.92923139806027</v>
      </c>
      <c r="R254" s="141">
        <f t="shared" si="31"/>
        <v>1554.6667235714485</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447</v>
      </c>
      <c r="G255" s="89" t="s">
        <v>207</v>
      </c>
      <c r="J255" s="141">
        <f t="shared" ref="J255:Y255" si="32">J$219</f>
        <v>102434.88722672098</v>
      </c>
      <c r="K255" s="141">
        <f t="shared" si="32"/>
        <v>260.36899999999997</v>
      </c>
      <c r="L255" s="141">
        <f t="shared" si="32"/>
        <v>9474.7239904568705</v>
      </c>
      <c r="M255" s="141">
        <f t="shared" si="32"/>
        <v>0</v>
      </c>
      <c r="N255" s="141">
        <f t="shared" si="32"/>
        <v>63660.445000000007</v>
      </c>
      <c r="O255" s="141">
        <f t="shared" si="32"/>
        <v>15900.283000000003</v>
      </c>
      <c r="P255" s="141">
        <f t="shared" si="32"/>
        <v>28528.132000000001</v>
      </c>
      <c r="Q255" s="141">
        <f t="shared" si="32"/>
        <v>261.40423687505682</v>
      </c>
      <c r="R255" s="141">
        <f t="shared" si="32"/>
        <v>9947.1981126761348</v>
      </c>
      <c r="S255" s="141">
        <f t="shared" si="32"/>
        <v>0</v>
      </c>
      <c r="T255" s="141">
        <f t="shared" si="32"/>
        <v>1.202</v>
      </c>
      <c r="U255" s="141">
        <f t="shared" si="32"/>
        <v>0</v>
      </c>
      <c r="V255" s="141">
        <f t="shared" si="32"/>
        <v>0</v>
      </c>
      <c r="W255" s="141">
        <f t="shared" si="32"/>
        <v>0</v>
      </c>
      <c r="X255" s="141">
        <f t="shared" si="32"/>
        <v>0</v>
      </c>
      <c r="Y255" s="141">
        <f t="shared" si="32"/>
        <v>0</v>
      </c>
      <c r="AQ255" s="3"/>
    </row>
    <row r="256" spans="5:43" x14ac:dyDescent="0.25">
      <c r="F256" s="89" t="s">
        <v>448</v>
      </c>
      <c r="G256" s="89" t="s">
        <v>167</v>
      </c>
      <c r="J256" s="195">
        <f t="shared" ref="J256:Y256" si="33">IF(J$39, J$45, J$34)</f>
        <v>0.4003457929697154</v>
      </c>
      <c r="K256" s="195">
        <f t="shared" si="33"/>
        <v>0.4003457929697154</v>
      </c>
      <c r="L256" s="195">
        <f t="shared" si="33"/>
        <v>0.4003457929697154</v>
      </c>
      <c r="M256" s="195">
        <f t="shared" si="33"/>
        <v>0.4003457929697154</v>
      </c>
      <c r="N256" s="195">
        <f t="shared" si="33"/>
        <v>0.4003457929697154</v>
      </c>
      <c r="O256" s="195">
        <f t="shared" si="33"/>
        <v>0</v>
      </c>
      <c r="P256" s="195">
        <f t="shared" si="33"/>
        <v>0</v>
      </c>
      <c r="Q256" s="195">
        <f t="shared" si="33"/>
        <v>0.4003457929697154</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449</v>
      </c>
      <c r="G257" s="89" t="s">
        <v>167</v>
      </c>
      <c r="J257" s="195">
        <f t="shared" ref="J257:Y257" si="34">IF(J$39, J$45, J$35)</f>
        <v>0.60435784445160401</v>
      </c>
      <c r="K257" s="195">
        <f t="shared" si="34"/>
        <v>0.60435784445160401</v>
      </c>
      <c r="L257" s="195">
        <f t="shared" si="34"/>
        <v>0.60435784445160401</v>
      </c>
      <c r="M257" s="195">
        <f t="shared" si="34"/>
        <v>0.60435784445160401</v>
      </c>
      <c r="N257" s="195">
        <f t="shared" si="34"/>
        <v>0.60435784445160401</v>
      </c>
      <c r="O257" s="195">
        <f t="shared" si="34"/>
        <v>0.33898658826357436</v>
      </c>
      <c r="P257" s="195">
        <f t="shared" si="34"/>
        <v>0.24054198685119213</v>
      </c>
      <c r="Q257" s="195">
        <f t="shared" si="34"/>
        <v>0.60435784445160401</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450</v>
      </c>
      <c r="G258" s="89" t="s">
        <v>207</v>
      </c>
      <c r="J258" s="141">
        <f t="shared" ref="J258:Y258" si="35">J254 * (1 - J256)</f>
        <v>39652.245891575767</v>
      </c>
      <c r="K258" s="141">
        <f t="shared" si="35"/>
        <v>82.590452577455792</v>
      </c>
      <c r="L258" s="141">
        <f t="shared" si="35"/>
        <v>2018.8949168511297</v>
      </c>
      <c r="M258" s="141">
        <f t="shared" si="35"/>
        <v>0</v>
      </c>
      <c r="N258" s="141">
        <f t="shared" si="35"/>
        <v>5905.9415154710541</v>
      </c>
      <c r="O258" s="141">
        <f t="shared" si="35"/>
        <v>0</v>
      </c>
      <c r="P258" s="141">
        <f t="shared" si="35"/>
        <v>0</v>
      </c>
      <c r="Q258" s="141">
        <f t="shared" si="35"/>
        <v>214.63376942696308</v>
      </c>
      <c r="R258" s="141">
        <f t="shared" si="35"/>
        <v>1554.6667235714485</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451</v>
      </c>
      <c r="G259" s="96" t="s">
        <v>207</v>
      </c>
      <c r="H259" s="91"/>
      <c r="I259" s="91"/>
      <c r="J259" s="143">
        <f t="shared" ref="J259:Y259" si="36">J255 * (1 - J257)</f>
        <v>40527.559585736744</v>
      </c>
      <c r="K259" s="143">
        <f t="shared" si="36"/>
        <v>103.0129523979803</v>
      </c>
      <c r="L259" s="143">
        <f t="shared" si="36"/>
        <v>3748.6002228104562</v>
      </c>
      <c r="M259" s="143">
        <f t="shared" si="36"/>
        <v>0</v>
      </c>
      <c r="N259" s="143">
        <f t="shared" si="36"/>
        <v>25186.75568297011</v>
      </c>
      <c r="O259" s="143">
        <f t="shared" si="36"/>
        <v>10510.300313404692</v>
      </c>
      <c r="P259" s="143">
        <f t="shared" si="36"/>
        <v>21665.918447566928</v>
      </c>
      <c r="Q259" s="143">
        <f t="shared" si="36"/>
        <v>103.42253574673099</v>
      </c>
      <c r="R259" s="143">
        <f t="shared" si="36"/>
        <v>9947.1981126761348</v>
      </c>
      <c r="S259" s="143">
        <f t="shared" si="36"/>
        <v>0</v>
      </c>
      <c r="T259" s="143">
        <f t="shared" si="36"/>
        <v>1.202</v>
      </c>
      <c r="U259" s="143">
        <f t="shared" si="36"/>
        <v>0</v>
      </c>
      <c r="V259" s="143">
        <f t="shared" si="36"/>
        <v>0</v>
      </c>
      <c r="W259" s="143">
        <f t="shared" si="36"/>
        <v>0</v>
      </c>
      <c r="X259" s="143">
        <f t="shared" si="36"/>
        <v>0</v>
      </c>
      <c r="Y259" s="143">
        <f t="shared" si="36"/>
        <v>0</v>
      </c>
      <c r="AQ259" s="3"/>
    </row>
    <row r="260" spans="5:43" x14ac:dyDescent="0.25">
      <c r="F260" s="89" t="s">
        <v>452</v>
      </c>
      <c r="G260" s="89" t="s">
        <v>207</v>
      </c>
      <c r="J260" s="164">
        <f t="shared" ref="J260:Y260" si="37">J253 + J258 + J259</f>
        <v>2426681.8099287972</v>
      </c>
      <c r="K260" s="164">
        <f t="shared" si="37"/>
        <v>163502.90873996823</v>
      </c>
      <c r="L260" s="164">
        <f t="shared" si="37"/>
        <v>822090.85772019741</v>
      </c>
      <c r="M260" s="164">
        <f t="shared" si="37"/>
        <v>33432.284</v>
      </c>
      <c r="N260" s="164">
        <f t="shared" si="37"/>
        <v>1084036.7091787858</v>
      </c>
      <c r="O260" s="164">
        <f t="shared" si="37"/>
        <v>127595.88908236986</v>
      </c>
      <c r="P260" s="164">
        <f t="shared" si="37"/>
        <v>1563476.3053041713</v>
      </c>
      <c r="Q260" s="164">
        <f t="shared" si="37"/>
        <v>139201.6946331106</v>
      </c>
      <c r="R260" s="164">
        <f t="shared" si="37"/>
        <v>34204.372287182821</v>
      </c>
      <c r="S260" s="164">
        <f t="shared" si="37"/>
        <v>201.46913946310823</v>
      </c>
      <c r="T260" s="164">
        <f t="shared" si="37"/>
        <v>29331.213000000003</v>
      </c>
      <c r="U260" s="164">
        <f t="shared" si="37"/>
        <v>0</v>
      </c>
      <c r="V260" s="164">
        <f t="shared" si="37"/>
        <v>309.74</v>
      </c>
      <c r="W260" s="164">
        <f t="shared" si="37"/>
        <v>0</v>
      </c>
      <c r="X260" s="164">
        <f t="shared" si="37"/>
        <v>491598.924</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453</v>
      </c>
      <c r="I262" t="s">
        <v>154</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452</v>
      </c>
      <c r="G264" s="89" t="s">
        <v>207</v>
      </c>
      <c r="J264" s="141">
        <f t="shared" ref="J264:Y264" si="38">J260 + J249 + J238</f>
        <v>5693320.2845289437</v>
      </c>
      <c r="K264" s="141">
        <f t="shared" si="38"/>
        <v>180343.88003100079</v>
      </c>
      <c r="L264" s="141">
        <f t="shared" si="38"/>
        <v>2008017.3157430198</v>
      </c>
      <c r="M264" s="141">
        <f t="shared" si="38"/>
        <v>41561.257999999994</v>
      </c>
      <c r="N264" s="141">
        <f t="shared" si="38"/>
        <v>2555814.3309098235</v>
      </c>
      <c r="O264" s="141">
        <f t="shared" si="38"/>
        <v>280512.60339985415</v>
      </c>
      <c r="P264" s="141">
        <f t="shared" si="38"/>
        <v>3287400.8607207835</v>
      </c>
      <c r="Q264" s="141">
        <f t="shared" si="38"/>
        <v>210901.17122097785</v>
      </c>
      <c r="R264" s="141">
        <f t="shared" si="38"/>
        <v>122800.5376623444</v>
      </c>
      <c r="S264" s="141">
        <f t="shared" si="38"/>
        <v>480.97020050039418</v>
      </c>
      <c r="T264" s="141">
        <f t="shared" si="38"/>
        <v>62870.451000000008</v>
      </c>
      <c r="U264" s="141">
        <f t="shared" si="38"/>
        <v>0</v>
      </c>
      <c r="V264" s="141">
        <f t="shared" si="38"/>
        <v>701.11299999999994</v>
      </c>
      <c r="W264" s="141">
        <f t="shared" si="38"/>
        <v>0</v>
      </c>
      <c r="X264" s="141">
        <f t="shared" si="38"/>
        <v>1028767.572</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212</v>
      </c>
      <c r="I266" t="s">
        <v>154</v>
      </c>
      <c r="J266" s="101"/>
      <c r="K266" s="101"/>
      <c r="L266" s="101"/>
      <c r="M266" s="101"/>
      <c r="N266" s="101"/>
      <c r="O266" s="101"/>
      <c r="P266" s="101"/>
      <c r="Q266" s="101"/>
      <c r="R266" s="101"/>
      <c r="S266" s="101"/>
      <c r="T266" s="101"/>
      <c r="U266" s="101"/>
      <c r="V266" s="101"/>
      <c r="W266" s="101"/>
      <c r="X266" s="101"/>
      <c r="Y266" s="101"/>
      <c r="AA266" t="s">
        <v>309</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445</v>
      </c>
      <c r="G268" s="89" t="s">
        <v>212</v>
      </c>
      <c r="J268" s="141">
        <f t="shared" ref="J268:Y268" si="39">J202</f>
        <v>1860265</v>
      </c>
      <c r="K268" s="141">
        <f t="shared" si="39"/>
        <v>90201</v>
      </c>
      <c r="L268" s="141">
        <f t="shared" si="39"/>
        <v>125138</v>
      </c>
      <c r="M268" s="141">
        <f t="shared" si="39"/>
        <v>5142</v>
      </c>
      <c r="N268" s="141">
        <f t="shared" si="39"/>
        <v>11272</v>
      </c>
      <c r="O268" s="141">
        <f t="shared" si="39"/>
        <v>283</v>
      </c>
      <c r="P268" s="141">
        <f t="shared" si="39"/>
        <v>1282</v>
      </c>
      <c r="Q268" s="141">
        <f t="shared" si="39"/>
        <v>4855</v>
      </c>
      <c r="R268" s="141">
        <f t="shared" si="39"/>
        <v>14150.894574354708</v>
      </c>
      <c r="S268" s="141">
        <f t="shared" si="39"/>
        <v>7</v>
      </c>
      <c r="T268" s="141">
        <f t="shared" si="39"/>
        <v>549</v>
      </c>
      <c r="U268" s="141">
        <f t="shared" si="39"/>
        <v>0</v>
      </c>
      <c r="V268" s="141">
        <f t="shared" si="39"/>
        <v>9</v>
      </c>
      <c r="W268" s="141">
        <f t="shared" si="39"/>
        <v>0</v>
      </c>
      <c r="X268" s="141">
        <f t="shared" si="39"/>
        <v>263</v>
      </c>
      <c r="Y268" s="141">
        <f t="shared" si="39"/>
        <v>0</v>
      </c>
      <c r="AQ268" s="3"/>
    </row>
    <row r="269" spans="5:43" x14ac:dyDescent="0.25">
      <c r="F269" s="89" t="s">
        <v>446</v>
      </c>
      <c r="G269" s="89" t="s">
        <v>212</v>
      </c>
      <c r="J269" s="141">
        <f t="shared" ref="J269:Y269" si="40">J211</f>
        <v>59513</v>
      </c>
      <c r="K269" s="141">
        <f t="shared" si="40"/>
        <v>60</v>
      </c>
      <c r="L269" s="141">
        <f t="shared" si="40"/>
        <v>1328</v>
      </c>
      <c r="M269" s="141">
        <f t="shared" si="40"/>
        <v>0</v>
      </c>
      <c r="N269" s="141">
        <f t="shared" si="40"/>
        <v>146</v>
      </c>
      <c r="O269" s="141">
        <f t="shared" si="40"/>
        <v>0</v>
      </c>
      <c r="P269" s="141">
        <f t="shared" si="40"/>
        <v>0</v>
      </c>
      <c r="Q269" s="141">
        <f t="shared" si="40"/>
        <v>84</v>
      </c>
      <c r="R269" s="141">
        <f t="shared" si="40"/>
        <v>279</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447</v>
      </c>
      <c r="G270" s="89" t="s">
        <v>212</v>
      </c>
      <c r="J270" s="141">
        <f t="shared" ref="J270:Y270" si="41">J220</f>
        <v>94595</v>
      </c>
      <c r="K270" s="141">
        <f t="shared" si="41"/>
        <v>70</v>
      </c>
      <c r="L270" s="141">
        <f t="shared" si="41"/>
        <v>1823</v>
      </c>
      <c r="M270" s="141">
        <f t="shared" si="41"/>
        <v>0</v>
      </c>
      <c r="N270" s="141">
        <f t="shared" si="41"/>
        <v>526</v>
      </c>
      <c r="O270" s="141">
        <f t="shared" si="41"/>
        <v>45</v>
      </c>
      <c r="P270" s="141">
        <f t="shared" si="41"/>
        <v>30</v>
      </c>
      <c r="Q270" s="141">
        <f t="shared" si="41"/>
        <v>54</v>
      </c>
      <c r="R270" s="141">
        <f t="shared" si="41"/>
        <v>1872</v>
      </c>
      <c r="S270" s="141">
        <f t="shared" si="41"/>
        <v>0</v>
      </c>
      <c r="T270" s="141">
        <f t="shared" si="41"/>
        <v>1</v>
      </c>
      <c r="U270" s="141">
        <f t="shared" si="41"/>
        <v>0</v>
      </c>
      <c r="V270" s="141">
        <f t="shared" si="41"/>
        <v>0</v>
      </c>
      <c r="W270" s="141">
        <f t="shared" si="41"/>
        <v>0</v>
      </c>
      <c r="X270" s="141">
        <f t="shared" si="41"/>
        <v>0</v>
      </c>
      <c r="Y270" s="141">
        <f t="shared" si="41"/>
        <v>0</v>
      </c>
      <c r="AQ270" s="3"/>
    </row>
    <row r="271" spans="5:43" x14ac:dyDescent="0.25">
      <c r="F271" s="89" t="s">
        <v>448</v>
      </c>
      <c r="G271" s="89" t="s">
        <v>167</v>
      </c>
      <c r="J271" s="195">
        <f t="shared" ref="J271:Y271" si="42">IF(J$40, J$46, J$34)</f>
        <v>0.4003457929697154</v>
      </c>
      <c r="K271" s="195">
        <f t="shared" si="42"/>
        <v>0.4003457929697154</v>
      </c>
      <c r="L271" s="195">
        <f t="shared" si="42"/>
        <v>0.4003457929697154</v>
      </c>
      <c r="M271" s="195">
        <f t="shared" si="42"/>
        <v>0.4003457929697154</v>
      </c>
      <c r="N271" s="195">
        <f t="shared" si="42"/>
        <v>0.4003457929697154</v>
      </c>
      <c r="O271" s="195">
        <f t="shared" si="42"/>
        <v>0</v>
      </c>
      <c r="P271" s="195">
        <f t="shared" si="42"/>
        <v>0</v>
      </c>
      <c r="Q271" s="195">
        <f t="shared" si="42"/>
        <v>0.4003457929697154</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449</v>
      </c>
      <c r="G272" s="89" t="s">
        <v>167</v>
      </c>
      <c r="J272" s="195">
        <f t="shared" ref="J272:Y272" si="43">IF(J$40, J$46, J$35)</f>
        <v>0.60435784445160401</v>
      </c>
      <c r="K272" s="195">
        <f t="shared" si="43"/>
        <v>0.60435784445160401</v>
      </c>
      <c r="L272" s="195">
        <f t="shared" si="43"/>
        <v>0.60435784445160401</v>
      </c>
      <c r="M272" s="195">
        <f t="shared" si="43"/>
        <v>0.60435784445160401</v>
      </c>
      <c r="N272" s="195">
        <f t="shared" si="43"/>
        <v>0.60435784445160401</v>
      </c>
      <c r="O272" s="195">
        <f t="shared" si="43"/>
        <v>0.33898658826357436</v>
      </c>
      <c r="P272" s="195">
        <f t="shared" si="43"/>
        <v>0.24054198685119213</v>
      </c>
      <c r="Q272" s="195">
        <f t="shared" si="43"/>
        <v>0.60435784445160401</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450</v>
      </c>
      <c r="G273" s="89" t="s">
        <v>212</v>
      </c>
      <c r="J273" s="141">
        <f t="shared" ref="J273:Y273" si="44">J269 * (1 - J271)</f>
        <v>35687.220822993324</v>
      </c>
      <c r="K273" s="141">
        <f t="shared" si="44"/>
        <v>35.97925242181708</v>
      </c>
      <c r="L273" s="141">
        <f t="shared" si="44"/>
        <v>796.34078693621791</v>
      </c>
      <c r="M273" s="141">
        <f t="shared" si="44"/>
        <v>0</v>
      </c>
      <c r="N273" s="141">
        <f t="shared" si="44"/>
        <v>87.54951422642155</v>
      </c>
      <c r="O273" s="141">
        <f t="shared" si="44"/>
        <v>0</v>
      </c>
      <c r="P273" s="141">
        <f t="shared" si="44"/>
        <v>0</v>
      </c>
      <c r="Q273" s="141">
        <f t="shared" si="44"/>
        <v>50.370953390543903</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451</v>
      </c>
      <c r="G274" s="96" t="s">
        <v>212</v>
      </c>
      <c r="H274" s="91"/>
      <c r="I274" s="91"/>
      <c r="J274" s="143">
        <f t="shared" ref="J274:Y274" si="45">J270 * (1 - J272)</f>
        <v>37425.769704100516</v>
      </c>
      <c r="K274" s="143">
        <f t="shared" si="45"/>
        <v>27.694950888387719</v>
      </c>
      <c r="L274" s="143">
        <f t="shared" si="45"/>
        <v>721.2556495647259</v>
      </c>
      <c r="M274" s="143">
        <f t="shared" si="45"/>
        <v>0</v>
      </c>
      <c r="N274" s="143">
        <f t="shared" si="45"/>
        <v>208.10777381845628</v>
      </c>
      <c r="O274" s="143">
        <f t="shared" si="45"/>
        <v>29.745603528139156</v>
      </c>
      <c r="P274" s="143">
        <f t="shared" si="45"/>
        <v>22.783740394464235</v>
      </c>
      <c r="Q274" s="143">
        <f t="shared" si="45"/>
        <v>21.364676399613383</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452</v>
      </c>
      <c r="G275" s="89" t="s">
        <v>212</v>
      </c>
      <c r="J275" s="164">
        <f t="shared" ref="J275:Y275" si="46">J268 + J273 + J274</f>
        <v>1933377.9905270939</v>
      </c>
      <c r="K275" s="164">
        <f t="shared" si="46"/>
        <v>90264.674203310205</v>
      </c>
      <c r="L275" s="164">
        <f t="shared" si="46"/>
        <v>126655.59643650094</v>
      </c>
      <c r="M275" s="164">
        <f t="shared" si="46"/>
        <v>5142</v>
      </c>
      <c r="N275" s="164">
        <f t="shared" si="46"/>
        <v>11567.657288044877</v>
      </c>
      <c r="O275" s="164">
        <f t="shared" si="46"/>
        <v>312.74560352813916</v>
      </c>
      <c r="P275" s="164">
        <f t="shared" si="46"/>
        <v>1304.7837403944643</v>
      </c>
      <c r="Q275" s="164">
        <f t="shared" si="46"/>
        <v>4926.735629790157</v>
      </c>
      <c r="R275" s="164">
        <f t="shared" si="46"/>
        <v>14150.894574354708</v>
      </c>
      <c r="S275" s="164">
        <f t="shared" si="46"/>
        <v>7</v>
      </c>
      <c r="T275" s="164">
        <f t="shared" si="46"/>
        <v>549</v>
      </c>
      <c r="U275" s="164">
        <f t="shared" si="46"/>
        <v>0</v>
      </c>
      <c r="V275" s="164">
        <f t="shared" si="46"/>
        <v>9</v>
      </c>
      <c r="W275" s="164">
        <f t="shared" si="46"/>
        <v>0</v>
      </c>
      <c r="X275" s="164">
        <f t="shared" si="46"/>
        <v>263</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250</v>
      </c>
      <c r="I277" t="s">
        <v>154</v>
      </c>
      <c r="J277" s="101"/>
      <c r="K277" s="101"/>
      <c r="L277" s="101"/>
      <c r="M277" s="101"/>
      <c r="N277" s="101"/>
      <c r="O277" s="101"/>
      <c r="P277" s="101"/>
      <c r="Q277" s="101"/>
      <c r="R277" s="101"/>
      <c r="S277" s="101"/>
      <c r="T277" s="101"/>
      <c r="U277" s="101"/>
      <c r="V277" s="101"/>
      <c r="W277" s="101"/>
      <c r="X277" s="101"/>
      <c r="Y277" s="101"/>
      <c r="AA277" t="s">
        <v>309</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445</v>
      </c>
      <c r="G279" s="89" t="s">
        <v>251</v>
      </c>
      <c r="J279" s="141">
        <f t="shared" ref="J279:Y279" si="47">J203</f>
        <v>0</v>
      </c>
      <c r="K279" s="141">
        <f t="shared" si="47"/>
        <v>0</v>
      </c>
      <c r="L279" s="141">
        <f t="shared" si="47"/>
        <v>0</v>
      </c>
      <c r="M279" s="141">
        <f t="shared" si="47"/>
        <v>0</v>
      </c>
      <c r="N279" s="141">
        <f t="shared" si="47"/>
        <v>1540724</v>
      </c>
      <c r="O279" s="141">
        <f t="shared" si="47"/>
        <v>109762</v>
      </c>
      <c r="P279" s="141">
        <f t="shared" si="47"/>
        <v>1318917</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446</v>
      </c>
      <c r="G280" s="89" t="s">
        <v>251</v>
      </c>
      <c r="J280" s="141">
        <f t="shared" ref="J280:Y280" si="48">J212</f>
        <v>0</v>
      </c>
      <c r="K280" s="141">
        <f t="shared" si="48"/>
        <v>0</v>
      </c>
      <c r="L280" s="141">
        <f t="shared" si="48"/>
        <v>0</v>
      </c>
      <c r="M280" s="141">
        <f t="shared" si="48"/>
        <v>0</v>
      </c>
      <c r="N280" s="141">
        <f t="shared" si="48"/>
        <v>22774</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447</v>
      </c>
      <c r="G281" s="89" t="s">
        <v>251</v>
      </c>
      <c r="J281" s="141">
        <f t="shared" ref="J281:Y281" si="49">J221</f>
        <v>0</v>
      </c>
      <c r="K281" s="141">
        <f t="shared" si="49"/>
        <v>0</v>
      </c>
      <c r="L281" s="141">
        <f t="shared" si="49"/>
        <v>0</v>
      </c>
      <c r="M281" s="141">
        <f t="shared" si="49"/>
        <v>0</v>
      </c>
      <c r="N281" s="141">
        <f t="shared" si="49"/>
        <v>121777</v>
      </c>
      <c r="O281" s="141">
        <f t="shared" si="49"/>
        <v>27611</v>
      </c>
      <c r="P281" s="141">
        <f t="shared" si="49"/>
        <v>39238</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448</v>
      </c>
      <c r="G282" s="89" t="s">
        <v>167</v>
      </c>
      <c r="J282" s="195">
        <f t="shared" ref="J282:Y282" si="50">IF(J$41, J$47, J$34)</f>
        <v>0.4003457929697154</v>
      </c>
      <c r="K282" s="195">
        <f t="shared" si="50"/>
        <v>0.4003457929697154</v>
      </c>
      <c r="L282" s="195">
        <f t="shared" si="50"/>
        <v>0.4003457929697154</v>
      </c>
      <c r="M282" s="195">
        <f t="shared" si="50"/>
        <v>0.4003457929697154</v>
      </c>
      <c r="N282" s="195">
        <f t="shared" si="50"/>
        <v>0.4003457929697154</v>
      </c>
      <c r="O282" s="195">
        <f t="shared" si="50"/>
        <v>0</v>
      </c>
      <c r="P282" s="195">
        <f t="shared" si="50"/>
        <v>0</v>
      </c>
      <c r="Q282" s="195">
        <f t="shared" si="50"/>
        <v>0.4003457929697154</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449</v>
      </c>
      <c r="G283" s="89" t="s">
        <v>167</v>
      </c>
      <c r="J283" s="195">
        <f t="shared" ref="J283:Y283" si="51">IF(J$41, J$47, J$35)</f>
        <v>0.60435784445160401</v>
      </c>
      <c r="K283" s="195">
        <f t="shared" si="51"/>
        <v>0.60435784445160401</v>
      </c>
      <c r="L283" s="195">
        <f t="shared" si="51"/>
        <v>0.60435784445160401</v>
      </c>
      <c r="M283" s="195">
        <f t="shared" si="51"/>
        <v>0.60435784445160401</v>
      </c>
      <c r="N283" s="195">
        <f t="shared" si="51"/>
        <v>0.60435784445160401</v>
      </c>
      <c r="O283" s="195">
        <f t="shared" si="51"/>
        <v>0.33898658826357436</v>
      </c>
      <c r="P283" s="195">
        <f t="shared" si="51"/>
        <v>0.24054198685119213</v>
      </c>
      <c r="Q283" s="195">
        <f t="shared" si="51"/>
        <v>0.60435784445160401</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450</v>
      </c>
      <c r="G284" s="89" t="s">
        <v>251</v>
      </c>
      <c r="J284" s="141">
        <f t="shared" ref="J284:Y284" si="52">J280 * (1 - J282)</f>
        <v>0</v>
      </c>
      <c r="K284" s="141">
        <f t="shared" si="52"/>
        <v>0</v>
      </c>
      <c r="L284" s="141">
        <f t="shared" si="52"/>
        <v>0</v>
      </c>
      <c r="M284" s="141">
        <f t="shared" si="52"/>
        <v>0</v>
      </c>
      <c r="N284" s="141">
        <f t="shared" si="52"/>
        <v>13656.524910907701</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451</v>
      </c>
      <c r="G285" s="96" t="s">
        <v>251</v>
      </c>
      <c r="H285" s="91"/>
      <c r="I285" s="91"/>
      <c r="J285" s="143">
        <f t="shared" ref="J285:Y285" si="53">J281 * (1 - J283)</f>
        <v>0</v>
      </c>
      <c r="K285" s="143">
        <f t="shared" si="53"/>
        <v>0</v>
      </c>
      <c r="L285" s="143">
        <f t="shared" si="53"/>
        <v>0</v>
      </c>
      <c r="M285" s="143">
        <f t="shared" si="53"/>
        <v>0</v>
      </c>
      <c r="N285" s="143">
        <f t="shared" si="53"/>
        <v>48180.114776217022</v>
      </c>
      <c r="O285" s="143">
        <f t="shared" si="53"/>
        <v>18251.241311454451</v>
      </c>
      <c r="P285" s="143">
        <f t="shared" si="53"/>
        <v>29799.613519932926</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452</v>
      </c>
      <c r="G286" s="89" t="s">
        <v>251</v>
      </c>
      <c r="J286" s="164">
        <f t="shared" ref="J286:Y286" si="54">J279 + J284 + J285</f>
        <v>0</v>
      </c>
      <c r="K286" s="164">
        <f t="shared" si="54"/>
        <v>0</v>
      </c>
      <c r="L286" s="164">
        <f t="shared" si="54"/>
        <v>0</v>
      </c>
      <c r="M286" s="164">
        <f t="shared" si="54"/>
        <v>0</v>
      </c>
      <c r="N286" s="164">
        <f t="shared" si="54"/>
        <v>1602560.6396871246</v>
      </c>
      <c r="O286" s="164">
        <f t="shared" si="54"/>
        <v>128013.24131145445</v>
      </c>
      <c r="P286" s="164">
        <f t="shared" si="54"/>
        <v>1348716.6135199328</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252</v>
      </c>
      <c r="I288" t="s">
        <v>154</v>
      </c>
      <c r="J288" s="101"/>
      <c r="K288" s="101"/>
      <c r="L288" s="101"/>
      <c r="M288" s="101"/>
      <c r="N288" s="101"/>
      <c r="O288" s="101"/>
      <c r="P288" s="101"/>
      <c r="Q288" s="101"/>
      <c r="R288" s="101"/>
      <c r="S288" s="101"/>
      <c r="T288" s="101"/>
      <c r="U288" s="101"/>
      <c r="V288" s="101"/>
      <c r="W288" s="101"/>
      <c r="X288" s="101"/>
      <c r="Y288" s="101"/>
      <c r="AA288" t="s">
        <v>309</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445</v>
      </c>
      <c r="G290" s="89" t="s">
        <v>251</v>
      </c>
      <c r="J290" s="141">
        <f t="shared" ref="J290:Y290" si="55">J204</f>
        <v>0</v>
      </c>
      <c r="K290" s="141">
        <f t="shared" si="55"/>
        <v>0</v>
      </c>
      <c r="L290" s="141">
        <f t="shared" si="55"/>
        <v>0</v>
      </c>
      <c r="M290" s="141">
        <f t="shared" si="55"/>
        <v>0</v>
      </c>
      <c r="N290" s="141">
        <f t="shared" si="55"/>
        <v>22203</v>
      </c>
      <c r="O290" s="141">
        <f t="shared" si="55"/>
        <v>969.66666666666663</v>
      </c>
      <c r="P290" s="141">
        <f t="shared" si="55"/>
        <v>12374.833333333334</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446</v>
      </c>
      <c r="G291" s="89" t="s">
        <v>251</v>
      </c>
      <c r="J291" s="141">
        <f t="shared" ref="J291:Y291" si="56">J213</f>
        <v>0</v>
      </c>
      <c r="K291" s="141">
        <f t="shared" si="56"/>
        <v>0</v>
      </c>
      <c r="L291" s="141">
        <f t="shared" si="56"/>
        <v>0</v>
      </c>
      <c r="M291" s="141">
        <f t="shared" si="56"/>
        <v>0</v>
      </c>
      <c r="N291" s="141">
        <f t="shared" si="56"/>
        <v>1519</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447</v>
      </c>
      <c r="G292" s="89" t="s">
        <v>251</v>
      </c>
      <c r="J292" s="141">
        <f t="shared" ref="J292:Y292" si="57">J222</f>
        <v>0</v>
      </c>
      <c r="K292" s="141">
        <f t="shared" si="57"/>
        <v>0</v>
      </c>
      <c r="L292" s="141">
        <f t="shared" si="57"/>
        <v>0</v>
      </c>
      <c r="M292" s="141">
        <f t="shared" si="57"/>
        <v>0</v>
      </c>
      <c r="N292" s="141">
        <f t="shared" si="57"/>
        <v>1571</v>
      </c>
      <c r="O292" s="141">
        <f t="shared" si="57"/>
        <v>0</v>
      </c>
      <c r="P292" s="141">
        <f t="shared" si="57"/>
        <v>241</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448</v>
      </c>
      <c r="G293" s="89" t="s">
        <v>167</v>
      </c>
      <c r="J293" s="195">
        <f t="shared" ref="J293:Y293" si="58">IF(J$42, J$48, J$34)</f>
        <v>0.4003457929697154</v>
      </c>
      <c r="K293" s="195">
        <f t="shared" si="58"/>
        <v>0.4003457929697154</v>
      </c>
      <c r="L293" s="195">
        <f t="shared" si="58"/>
        <v>0.4003457929697154</v>
      </c>
      <c r="M293" s="195">
        <f t="shared" si="58"/>
        <v>0.4003457929697154</v>
      </c>
      <c r="N293" s="195">
        <f t="shared" si="58"/>
        <v>0.4003457929697154</v>
      </c>
      <c r="O293" s="195">
        <f t="shared" si="58"/>
        <v>0</v>
      </c>
      <c r="P293" s="195">
        <f t="shared" si="58"/>
        <v>0</v>
      </c>
      <c r="Q293" s="195">
        <f t="shared" si="58"/>
        <v>0.4003457929697154</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449</v>
      </c>
      <c r="G294" s="89" t="s">
        <v>167</v>
      </c>
      <c r="J294" s="195">
        <f t="shared" ref="J294:Y294" si="59">IF(J$42, J$48, J$35)</f>
        <v>0.60435784445160401</v>
      </c>
      <c r="K294" s="195">
        <f t="shared" si="59"/>
        <v>0.60435784445160401</v>
      </c>
      <c r="L294" s="195">
        <f t="shared" si="59"/>
        <v>0.60435784445160401</v>
      </c>
      <c r="M294" s="195">
        <f t="shared" si="59"/>
        <v>0.60435784445160401</v>
      </c>
      <c r="N294" s="195">
        <f t="shared" si="59"/>
        <v>0.60435784445160401</v>
      </c>
      <c r="O294" s="195">
        <f t="shared" si="59"/>
        <v>0.33898658826357436</v>
      </c>
      <c r="P294" s="195">
        <f t="shared" si="59"/>
        <v>0.24054198685119213</v>
      </c>
      <c r="Q294" s="195">
        <f t="shared" si="59"/>
        <v>0.60435784445160401</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450</v>
      </c>
      <c r="G295" s="89" t="s">
        <v>251</v>
      </c>
      <c r="J295" s="141">
        <f t="shared" ref="J295:Y295" si="60">J291 * (1 - J293)</f>
        <v>0</v>
      </c>
      <c r="K295" s="141">
        <f t="shared" si="60"/>
        <v>0</v>
      </c>
      <c r="L295" s="141">
        <f t="shared" si="60"/>
        <v>0</v>
      </c>
      <c r="M295" s="141">
        <f t="shared" si="60"/>
        <v>0</v>
      </c>
      <c r="N295" s="141">
        <f t="shared" si="60"/>
        <v>910.8747404790023</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451</v>
      </c>
      <c r="G296" s="96" t="s">
        <v>251</v>
      </c>
      <c r="H296" s="91"/>
      <c r="I296" s="91"/>
      <c r="J296" s="143">
        <f t="shared" ref="J296:Y296" si="61">J292 * (1 - J294)</f>
        <v>0</v>
      </c>
      <c r="K296" s="143">
        <f t="shared" si="61"/>
        <v>0</v>
      </c>
      <c r="L296" s="143">
        <f t="shared" si="61"/>
        <v>0</v>
      </c>
      <c r="M296" s="143">
        <f t="shared" si="61"/>
        <v>0</v>
      </c>
      <c r="N296" s="143">
        <f t="shared" si="61"/>
        <v>621.55382636653007</v>
      </c>
      <c r="O296" s="143">
        <f t="shared" si="61"/>
        <v>0</v>
      </c>
      <c r="P296" s="143">
        <f t="shared" si="61"/>
        <v>183.0293811688627</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452</v>
      </c>
      <c r="G297" s="89" t="s">
        <v>251</v>
      </c>
      <c r="J297" s="164">
        <f t="shared" ref="J297:Y297" si="62">J290 + J295 + J296</f>
        <v>0</v>
      </c>
      <c r="K297" s="164">
        <f t="shared" si="62"/>
        <v>0</v>
      </c>
      <c r="L297" s="164">
        <f t="shared" si="62"/>
        <v>0</v>
      </c>
      <c r="M297" s="164">
        <f t="shared" si="62"/>
        <v>0</v>
      </c>
      <c r="N297" s="164">
        <f t="shared" si="62"/>
        <v>23735.42856684553</v>
      </c>
      <c r="O297" s="164">
        <f t="shared" si="62"/>
        <v>969.66666666666663</v>
      </c>
      <c r="P297" s="164">
        <f t="shared" si="62"/>
        <v>12557.862714502196</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253</v>
      </c>
      <c r="I299" t="s">
        <v>154</v>
      </c>
      <c r="J299" s="101"/>
      <c r="K299" s="101"/>
      <c r="L299" s="101"/>
      <c r="M299" s="101"/>
      <c r="N299" s="101"/>
      <c r="O299" s="101"/>
      <c r="P299" s="101"/>
      <c r="Q299" s="101"/>
      <c r="R299" s="101"/>
      <c r="S299" s="101"/>
      <c r="T299" s="101"/>
      <c r="U299" s="101"/>
      <c r="V299" s="101"/>
      <c r="W299" s="101"/>
      <c r="X299" s="101"/>
      <c r="Y299" s="101"/>
      <c r="AA299" t="s">
        <v>309</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445</v>
      </c>
      <c r="G301" s="89" t="s">
        <v>254</v>
      </c>
      <c r="J301" s="141">
        <f t="shared" ref="J301:Y301" si="63">J205</f>
        <v>0</v>
      </c>
      <c r="K301" s="141">
        <f t="shared" si="63"/>
        <v>0</v>
      </c>
      <c r="L301" s="141">
        <f t="shared" si="63"/>
        <v>0</v>
      </c>
      <c r="M301" s="141">
        <f t="shared" si="63"/>
        <v>0</v>
      </c>
      <c r="N301" s="141">
        <f t="shared" si="63"/>
        <v>215582.78399999999</v>
      </c>
      <c r="O301" s="141">
        <f t="shared" si="63"/>
        <v>20784.168000000001</v>
      </c>
      <c r="P301" s="141">
        <f t="shared" si="63"/>
        <v>219787.296</v>
      </c>
      <c r="Q301" s="141">
        <f t="shared" si="63"/>
        <v>0</v>
      </c>
      <c r="R301" s="141">
        <f t="shared" si="63"/>
        <v>0</v>
      </c>
      <c r="S301" s="141">
        <f t="shared" si="63"/>
        <v>0</v>
      </c>
      <c r="T301" s="141">
        <f t="shared" si="63"/>
        <v>6086.3360000000011</v>
      </c>
      <c r="U301" s="141">
        <f t="shared" si="63"/>
        <v>0</v>
      </c>
      <c r="V301" s="141">
        <f t="shared" si="63"/>
        <v>184.05</v>
      </c>
      <c r="W301" s="141">
        <f t="shared" si="63"/>
        <v>0</v>
      </c>
      <c r="X301" s="141">
        <f t="shared" si="63"/>
        <v>18732.55</v>
      </c>
      <c r="Y301" s="141">
        <f t="shared" si="63"/>
        <v>0</v>
      </c>
      <c r="AQ301" s="3"/>
    </row>
    <row r="302" spans="5:43" x14ac:dyDescent="0.25">
      <c r="F302" s="89" t="s">
        <v>446</v>
      </c>
      <c r="G302" s="89" t="s">
        <v>254</v>
      </c>
      <c r="J302" s="141">
        <f t="shared" ref="J302:Y302" si="64">J214</f>
        <v>0</v>
      </c>
      <c r="K302" s="141">
        <f t="shared" si="64"/>
        <v>0</v>
      </c>
      <c r="L302" s="141">
        <f t="shared" si="64"/>
        <v>0</v>
      </c>
      <c r="M302" s="141">
        <f t="shared" si="64"/>
        <v>0</v>
      </c>
      <c r="N302" s="141">
        <f t="shared" si="64"/>
        <v>1716.472</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447</v>
      </c>
      <c r="G303" s="89" t="s">
        <v>254</v>
      </c>
      <c r="J303" s="141">
        <f t="shared" ref="J303:Y303" si="65">J223</f>
        <v>0</v>
      </c>
      <c r="K303" s="141">
        <f t="shared" si="65"/>
        <v>0</v>
      </c>
      <c r="L303" s="141">
        <f t="shared" si="65"/>
        <v>0</v>
      </c>
      <c r="M303" s="141">
        <f t="shared" si="65"/>
        <v>0</v>
      </c>
      <c r="N303" s="141">
        <f t="shared" si="65"/>
        <v>8120.4459999999999</v>
      </c>
      <c r="O303" s="141">
        <f t="shared" si="65"/>
        <v>1590.6420000000001</v>
      </c>
      <c r="P303" s="141">
        <f t="shared" si="65"/>
        <v>1747.8820000000001</v>
      </c>
      <c r="Q303" s="141">
        <f t="shared" si="65"/>
        <v>0</v>
      </c>
      <c r="R303" s="141">
        <f t="shared" si="65"/>
        <v>0</v>
      </c>
      <c r="S303" s="141">
        <f t="shared" si="65"/>
        <v>0</v>
      </c>
      <c r="T303" s="141">
        <f t="shared" si="65"/>
        <v>0.41199999999999992</v>
      </c>
      <c r="U303" s="141">
        <f t="shared" si="65"/>
        <v>0</v>
      </c>
      <c r="V303" s="141">
        <f t="shared" si="65"/>
        <v>0</v>
      </c>
      <c r="W303" s="141">
        <f t="shared" si="65"/>
        <v>0</v>
      </c>
      <c r="X303" s="141">
        <f t="shared" si="65"/>
        <v>0</v>
      </c>
      <c r="Y303" s="141">
        <f t="shared" si="65"/>
        <v>0</v>
      </c>
      <c r="AQ303" s="3"/>
    </row>
    <row r="304" spans="5:43" x14ac:dyDescent="0.25">
      <c r="F304" s="89" t="s">
        <v>448</v>
      </c>
      <c r="G304" s="89" t="s">
        <v>167</v>
      </c>
      <c r="J304" s="195">
        <f t="shared" ref="J304:Y304" si="66">IF(J$43, J$49, J$34)</f>
        <v>0.4003457929697154</v>
      </c>
      <c r="K304" s="195">
        <f t="shared" si="66"/>
        <v>0.4003457929697154</v>
      </c>
      <c r="L304" s="195">
        <f t="shared" si="66"/>
        <v>0.4003457929697154</v>
      </c>
      <c r="M304" s="195">
        <f t="shared" si="66"/>
        <v>0.4003457929697154</v>
      </c>
      <c r="N304" s="195">
        <f t="shared" si="66"/>
        <v>0.4003457929697154</v>
      </c>
      <c r="O304" s="195">
        <f t="shared" si="66"/>
        <v>0</v>
      </c>
      <c r="P304" s="195">
        <f t="shared" si="66"/>
        <v>0</v>
      </c>
      <c r="Q304" s="195">
        <f t="shared" si="66"/>
        <v>0.4003457929697154</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449</v>
      </c>
      <c r="G305" s="89" t="s">
        <v>167</v>
      </c>
      <c r="J305" s="195">
        <f t="shared" ref="J305:Y305" si="67">IF(J$43, J$49, J$35)</f>
        <v>0.60435784445160401</v>
      </c>
      <c r="K305" s="195">
        <f t="shared" si="67"/>
        <v>0.60435784445160401</v>
      </c>
      <c r="L305" s="195">
        <f t="shared" si="67"/>
        <v>0.60435784445160401</v>
      </c>
      <c r="M305" s="195">
        <f t="shared" si="67"/>
        <v>0.60435784445160401</v>
      </c>
      <c r="N305" s="195">
        <f t="shared" si="67"/>
        <v>0.60435784445160401</v>
      </c>
      <c r="O305" s="195">
        <f t="shared" si="67"/>
        <v>0.33898658826357436</v>
      </c>
      <c r="P305" s="195">
        <f t="shared" si="67"/>
        <v>0.24054198685119213</v>
      </c>
      <c r="Q305" s="195">
        <f t="shared" si="67"/>
        <v>0.60435784445160401</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450</v>
      </c>
      <c r="G306" s="89" t="s">
        <v>254</v>
      </c>
      <c r="J306" s="141">
        <f t="shared" ref="J306:Y306" si="68">J302 * (1 - J304)</f>
        <v>0</v>
      </c>
      <c r="K306" s="141">
        <f t="shared" si="68"/>
        <v>0</v>
      </c>
      <c r="L306" s="141">
        <f t="shared" si="68"/>
        <v>0</v>
      </c>
      <c r="M306" s="141">
        <f t="shared" si="68"/>
        <v>0</v>
      </c>
      <c r="N306" s="141">
        <f t="shared" si="68"/>
        <v>1029.2896560496868</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451</v>
      </c>
      <c r="G307" s="96" t="s">
        <v>254</v>
      </c>
      <c r="H307" s="91"/>
      <c r="I307" s="91"/>
      <c r="J307" s="143">
        <f t="shared" ref="J307:Y307" si="69">J303 * (1 - J305)</f>
        <v>0</v>
      </c>
      <c r="K307" s="143">
        <f t="shared" si="69"/>
        <v>0</v>
      </c>
      <c r="L307" s="143">
        <f t="shared" si="69"/>
        <v>0</v>
      </c>
      <c r="M307" s="143">
        <f t="shared" si="69"/>
        <v>0</v>
      </c>
      <c r="N307" s="143">
        <f t="shared" si="69"/>
        <v>3212.7907594543499</v>
      </c>
      <c r="O307" s="143">
        <f t="shared" si="69"/>
        <v>1051.4356952712517</v>
      </c>
      <c r="P307" s="143">
        <f t="shared" si="69"/>
        <v>1327.4429909385647</v>
      </c>
      <c r="Q307" s="143">
        <f t="shared" si="69"/>
        <v>0</v>
      </c>
      <c r="R307" s="143">
        <f t="shared" si="69"/>
        <v>0</v>
      </c>
      <c r="S307" s="143">
        <f t="shared" si="69"/>
        <v>0</v>
      </c>
      <c r="T307" s="143">
        <f t="shared" si="69"/>
        <v>0.41199999999999992</v>
      </c>
      <c r="U307" s="143">
        <f t="shared" si="69"/>
        <v>0</v>
      </c>
      <c r="V307" s="143">
        <f t="shared" si="69"/>
        <v>0</v>
      </c>
      <c r="W307" s="143">
        <f t="shared" si="69"/>
        <v>0</v>
      </c>
      <c r="X307" s="143">
        <f t="shared" si="69"/>
        <v>0</v>
      </c>
      <c r="Y307" s="143">
        <f t="shared" si="69"/>
        <v>0</v>
      </c>
      <c r="AQ307" s="3"/>
    </row>
    <row r="308" spans="2:43" x14ac:dyDescent="0.25">
      <c r="F308" s="89" t="s">
        <v>452</v>
      </c>
      <c r="G308" s="89" t="s">
        <v>254</v>
      </c>
      <c r="J308" s="164">
        <f t="shared" ref="J308:Y308" si="70">J301 + J306 + J307</f>
        <v>0</v>
      </c>
      <c r="K308" s="164">
        <f t="shared" si="70"/>
        <v>0</v>
      </c>
      <c r="L308" s="164">
        <f t="shared" si="70"/>
        <v>0</v>
      </c>
      <c r="M308" s="164">
        <f t="shared" si="70"/>
        <v>0</v>
      </c>
      <c r="N308" s="164">
        <f t="shared" si="70"/>
        <v>219824.86441550401</v>
      </c>
      <c r="O308" s="164">
        <f t="shared" si="70"/>
        <v>21835.603695271253</v>
      </c>
      <c r="P308" s="164">
        <f t="shared" si="70"/>
        <v>221114.73899093855</v>
      </c>
      <c r="Q308" s="164">
        <f t="shared" si="70"/>
        <v>0</v>
      </c>
      <c r="R308" s="164">
        <f t="shared" si="70"/>
        <v>0</v>
      </c>
      <c r="S308" s="164">
        <f t="shared" si="70"/>
        <v>0</v>
      </c>
      <c r="T308" s="164">
        <f t="shared" si="70"/>
        <v>6086.7480000000014</v>
      </c>
      <c r="U308" s="164">
        <f t="shared" si="70"/>
        <v>0</v>
      </c>
      <c r="V308" s="164">
        <f t="shared" si="70"/>
        <v>184.05</v>
      </c>
      <c r="W308" s="164">
        <f t="shared" si="70"/>
        <v>0</v>
      </c>
      <c r="X308" s="164">
        <f t="shared" si="70"/>
        <v>18732.55</v>
      </c>
      <c r="Y308" s="164">
        <f t="shared" si="70"/>
        <v>0</v>
      </c>
      <c r="AQ308" s="3"/>
    </row>
    <row r="309" spans="2:43" x14ac:dyDescent="0.25">
      <c r="D309" s="60"/>
      <c r="AQ309" s="3"/>
    </row>
    <row r="310" spans="2:43" x14ac:dyDescent="0.25">
      <c r="B310" s="70" t="s">
        <v>920</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1024</v>
      </c>
      <c r="AQ312" s="3"/>
    </row>
    <row r="313" spans="2:43" x14ac:dyDescent="0.25">
      <c r="C313" s="60"/>
      <c r="AQ313" s="3"/>
    </row>
    <row r="314" spans="2:43" x14ac:dyDescent="0.25">
      <c r="C314" s="60"/>
      <c r="E314" s="60" t="s">
        <v>448</v>
      </c>
      <c r="AQ314" s="3"/>
    </row>
    <row r="315" spans="2:43" x14ac:dyDescent="0.25">
      <c r="C315" s="60"/>
      <c r="F315" s="111" t="s">
        <v>247</v>
      </c>
      <c r="G315" s="90" t="s">
        <v>167</v>
      </c>
      <c r="H315" s="90"/>
      <c r="I315" s="90"/>
      <c r="J315" s="196">
        <f>IF(J$39, J$45, J$34)</f>
        <v>0.4003457929697154</v>
      </c>
      <c r="K315" s="196">
        <f t="shared" ref="K315:Y315" si="71">IF(K$39, K$45, K$34)</f>
        <v>0.4003457929697154</v>
      </c>
      <c r="L315" s="196">
        <f t="shared" si="71"/>
        <v>0.4003457929697154</v>
      </c>
      <c r="M315" s="196">
        <f t="shared" si="71"/>
        <v>0.4003457929697154</v>
      </c>
      <c r="N315" s="196">
        <f t="shared" si="71"/>
        <v>0.4003457929697154</v>
      </c>
      <c r="O315" s="196">
        <f t="shared" si="71"/>
        <v>0</v>
      </c>
      <c r="P315" s="196">
        <f t="shared" si="71"/>
        <v>0</v>
      </c>
      <c r="Q315" s="196">
        <f t="shared" si="71"/>
        <v>0.4003457929697154</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248</v>
      </c>
      <c r="G316" t="s">
        <v>167</v>
      </c>
      <c r="J316" s="194">
        <f t="shared" ref="J316:Y317" si="72">IF(J$39, J$45, J$34)</f>
        <v>0.4003457929697154</v>
      </c>
      <c r="K316" s="194">
        <f t="shared" si="72"/>
        <v>0.4003457929697154</v>
      </c>
      <c r="L316" s="194">
        <f t="shared" si="72"/>
        <v>0.4003457929697154</v>
      </c>
      <c r="M316" s="194">
        <f t="shared" si="72"/>
        <v>0.4003457929697154</v>
      </c>
      <c r="N316" s="194">
        <f t="shared" si="72"/>
        <v>0.4003457929697154</v>
      </c>
      <c r="O316" s="194">
        <f t="shared" si="72"/>
        <v>0</v>
      </c>
      <c r="P316" s="194">
        <f t="shared" si="72"/>
        <v>0</v>
      </c>
      <c r="Q316" s="194">
        <f t="shared" si="72"/>
        <v>0.4003457929697154</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249</v>
      </c>
      <c r="G317" s="91" t="s">
        <v>167</v>
      </c>
      <c r="H317" s="91"/>
      <c r="I317" s="91"/>
      <c r="J317" s="197">
        <f t="shared" si="72"/>
        <v>0.4003457929697154</v>
      </c>
      <c r="K317" s="197">
        <f t="shared" si="72"/>
        <v>0.4003457929697154</v>
      </c>
      <c r="L317" s="197">
        <f t="shared" si="72"/>
        <v>0.4003457929697154</v>
      </c>
      <c r="M317" s="197">
        <f t="shared" si="72"/>
        <v>0.4003457929697154</v>
      </c>
      <c r="N317" s="197">
        <f t="shared" si="72"/>
        <v>0.4003457929697154</v>
      </c>
      <c r="O317" s="197">
        <f t="shared" si="72"/>
        <v>0</v>
      </c>
      <c r="P317" s="197">
        <f t="shared" si="72"/>
        <v>0</v>
      </c>
      <c r="Q317" s="197">
        <f t="shared" si="72"/>
        <v>0.4003457929697154</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212</v>
      </c>
      <c r="G318" t="s">
        <v>167</v>
      </c>
      <c r="J318" s="194">
        <f t="shared" ref="J318:Y318" si="73">IF(J$39, J46, J$34)</f>
        <v>0.4003457929697154</v>
      </c>
      <c r="K318" s="194">
        <f t="shared" si="73"/>
        <v>0.4003457929697154</v>
      </c>
      <c r="L318" s="194">
        <f t="shared" si="73"/>
        <v>0.4003457929697154</v>
      </c>
      <c r="M318" s="194">
        <f t="shared" si="73"/>
        <v>0.4003457929697154</v>
      </c>
      <c r="N318" s="194">
        <f t="shared" si="73"/>
        <v>0.4003457929697154</v>
      </c>
      <c r="O318" s="194">
        <f t="shared" si="73"/>
        <v>0</v>
      </c>
      <c r="P318" s="194">
        <f t="shared" si="73"/>
        <v>0</v>
      </c>
      <c r="Q318" s="194">
        <f t="shared" si="73"/>
        <v>0.4003457929697154</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250</v>
      </c>
      <c r="G319" t="s">
        <v>167</v>
      </c>
      <c r="J319" s="194">
        <f t="shared" ref="J319:Y319" si="74">IF(J$39, J47, J$34)</f>
        <v>0.4003457929697154</v>
      </c>
      <c r="K319" s="194">
        <f t="shared" si="74"/>
        <v>0.4003457929697154</v>
      </c>
      <c r="L319" s="194">
        <f t="shared" si="74"/>
        <v>0.4003457929697154</v>
      </c>
      <c r="M319" s="194">
        <f t="shared" si="74"/>
        <v>0.4003457929697154</v>
      </c>
      <c r="N319" s="194">
        <f t="shared" si="74"/>
        <v>0.4003457929697154</v>
      </c>
      <c r="O319" s="194">
        <f t="shared" si="74"/>
        <v>0</v>
      </c>
      <c r="P319" s="194">
        <f t="shared" si="74"/>
        <v>0</v>
      </c>
      <c r="Q319" s="194">
        <f t="shared" si="74"/>
        <v>0.4003457929697154</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252</v>
      </c>
      <c r="G320" t="s">
        <v>167</v>
      </c>
      <c r="J320" s="194">
        <f t="shared" ref="J320:Y320" si="75">IF(J$39, J48, J$34)</f>
        <v>0.4003457929697154</v>
      </c>
      <c r="K320" s="194">
        <f t="shared" si="75"/>
        <v>0.4003457929697154</v>
      </c>
      <c r="L320" s="194">
        <f t="shared" si="75"/>
        <v>0.4003457929697154</v>
      </c>
      <c r="M320" s="194">
        <f t="shared" si="75"/>
        <v>0.4003457929697154</v>
      </c>
      <c r="N320" s="194">
        <f t="shared" si="75"/>
        <v>0.4003457929697154</v>
      </c>
      <c r="O320" s="194">
        <f t="shared" si="75"/>
        <v>0</v>
      </c>
      <c r="P320" s="194">
        <f t="shared" si="75"/>
        <v>0</v>
      </c>
      <c r="Q320" s="194">
        <f t="shared" si="75"/>
        <v>0.4003457929697154</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253</v>
      </c>
      <c r="G321" s="91" t="s">
        <v>167</v>
      </c>
      <c r="H321" s="91"/>
      <c r="I321" s="91"/>
      <c r="J321" s="197">
        <f t="shared" ref="J321:Y321" si="76">IF(J$39, J49, J$34)</f>
        <v>0.4003457929697154</v>
      </c>
      <c r="K321" s="197">
        <f t="shared" si="76"/>
        <v>0.4003457929697154</v>
      </c>
      <c r="L321" s="197">
        <f t="shared" si="76"/>
        <v>0.4003457929697154</v>
      </c>
      <c r="M321" s="197">
        <f t="shared" si="76"/>
        <v>0.4003457929697154</v>
      </c>
      <c r="N321" s="197">
        <f t="shared" si="76"/>
        <v>0.4003457929697154</v>
      </c>
      <c r="O321" s="197">
        <f t="shared" si="76"/>
        <v>0</v>
      </c>
      <c r="P321" s="197">
        <f t="shared" si="76"/>
        <v>0</v>
      </c>
      <c r="Q321" s="197">
        <f t="shared" si="76"/>
        <v>0.4003457929697154</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449</v>
      </c>
      <c r="AQ323" s="3"/>
    </row>
    <row r="324" spans="3:43" x14ac:dyDescent="0.25">
      <c r="C324" s="60"/>
      <c r="F324" s="111" t="s">
        <v>247</v>
      </c>
      <c r="G324" s="90" t="s">
        <v>167</v>
      </c>
      <c r="H324" s="90"/>
      <c r="I324" s="90"/>
      <c r="J324" s="196">
        <f>IF(J$39, J$45, J$35)</f>
        <v>0.60435784445160401</v>
      </c>
      <c r="K324" s="196">
        <f t="shared" ref="K324:Y326" si="77">IF(K$39, K$45, K$35)</f>
        <v>0.60435784445160401</v>
      </c>
      <c r="L324" s="196">
        <f t="shared" si="77"/>
        <v>0.60435784445160401</v>
      </c>
      <c r="M324" s="196">
        <f t="shared" si="77"/>
        <v>0.60435784445160401</v>
      </c>
      <c r="N324" s="196">
        <f t="shared" si="77"/>
        <v>0.60435784445160401</v>
      </c>
      <c r="O324" s="196">
        <f t="shared" si="77"/>
        <v>0.33898658826357436</v>
      </c>
      <c r="P324" s="196">
        <f t="shared" si="77"/>
        <v>0.24054198685119213</v>
      </c>
      <c r="Q324" s="196">
        <f t="shared" si="77"/>
        <v>0.60435784445160401</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248</v>
      </c>
      <c r="G325" t="s">
        <v>167</v>
      </c>
      <c r="J325" s="194">
        <f t="shared" ref="J325:J326" si="78">IF(J$39, J$45, J$35)</f>
        <v>0.60435784445160401</v>
      </c>
      <c r="K325" s="194">
        <f t="shared" si="77"/>
        <v>0.60435784445160401</v>
      </c>
      <c r="L325" s="194">
        <f t="shared" si="77"/>
        <v>0.60435784445160401</v>
      </c>
      <c r="M325" s="194">
        <f t="shared" si="77"/>
        <v>0.60435784445160401</v>
      </c>
      <c r="N325" s="194">
        <f t="shared" si="77"/>
        <v>0.60435784445160401</v>
      </c>
      <c r="O325" s="194">
        <f t="shared" si="77"/>
        <v>0.33898658826357436</v>
      </c>
      <c r="P325" s="194">
        <f t="shared" si="77"/>
        <v>0.24054198685119213</v>
      </c>
      <c r="Q325" s="194">
        <f t="shared" si="77"/>
        <v>0.60435784445160401</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249</v>
      </c>
      <c r="G326" s="91" t="s">
        <v>167</v>
      </c>
      <c r="H326" s="91"/>
      <c r="I326" s="91"/>
      <c r="J326" s="197">
        <f t="shared" si="78"/>
        <v>0.60435784445160401</v>
      </c>
      <c r="K326" s="197">
        <f t="shared" si="77"/>
        <v>0.60435784445160401</v>
      </c>
      <c r="L326" s="197">
        <f t="shared" si="77"/>
        <v>0.60435784445160401</v>
      </c>
      <c r="M326" s="197">
        <f t="shared" si="77"/>
        <v>0.60435784445160401</v>
      </c>
      <c r="N326" s="197">
        <f t="shared" si="77"/>
        <v>0.60435784445160401</v>
      </c>
      <c r="O326" s="197">
        <f t="shared" si="77"/>
        <v>0.33898658826357436</v>
      </c>
      <c r="P326" s="197">
        <f t="shared" si="77"/>
        <v>0.24054198685119213</v>
      </c>
      <c r="Q326" s="197">
        <f t="shared" si="77"/>
        <v>0.60435784445160401</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212</v>
      </c>
      <c r="G327" t="s">
        <v>167</v>
      </c>
      <c r="J327" s="194">
        <f t="shared" ref="J327:Y327" si="79">IF(J$39, J46, J$35)</f>
        <v>0.60435784445160401</v>
      </c>
      <c r="K327" s="194">
        <f t="shared" si="79"/>
        <v>0.60435784445160401</v>
      </c>
      <c r="L327" s="194">
        <f t="shared" si="79"/>
        <v>0.60435784445160401</v>
      </c>
      <c r="M327" s="194">
        <f t="shared" si="79"/>
        <v>0.60435784445160401</v>
      </c>
      <c r="N327" s="194">
        <f t="shared" si="79"/>
        <v>0.60435784445160401</v>
      </c>
      <c r="O327" s="194">
        <f t="shared" si="79"/>
        <v>0.33898658826357436</v>
      </c>
      <c r="P327" s="194">
        <f t="shared" si="79"/>
        <v>0.24054198685119213</v>
      </c>
      <c r="Q327" s="194">
        <f t="shared" si="79"/>
        <v>0.60435784445160401</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250</v>
      </c>
      <c r="G328" t="s">
        <v>167</v>
      </c>
      <c r="J328" s="194">
        <f t="shared" ref="J328:Y328" si="80">IF(J$39, J47, J$35)</f>
        <v>0.60435784445160401</v>
      </c>
      <c r="K328" s="194">
        <f t="shared" si="80"/>
        <v>0.60435784445160401</v>
      </c>
      <c r="L328" s="194">
        <f t="shared" si="80"/>
        <v>0.60435784445160401</v>
      </c>
      <c r="M328" s="194">
        <f t="shared" si="80"/>
        <v>0.60435784445160401</v>
      </c>
      <c r="N328" s="194">
        <f t="shared" si="80"/>
        <v>0.60435784445160401</v>
      </c>
      <c r="O328" s="194">
        <f t="shared" si="80"/>
        <v>0.33898658826357436</v>
      </c>
      <c r="P328" s="194">
        <f t="shared" si="80"/>
        <v>0.24054198685119213</v>
      </c>
      <c r="Q328" s="194">
        <f t="shared" si="80"/>
        <v>0.60435784445160401</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252</v>
      </c>
      <c r="G329" t="s">
        <v>167</v>
      </c>
      <c r="J329" s="194">
        <f t="shared" ref="J329:Y329" si="81">IF(J$39, J48, J$35)</f>
        <v>0.60435784445160401</v>
      </c>
      <c r="K329" s="194">
        <f t="shared" si="81"/>
        <v>0.60435784445160401</v>
      </c>
      <c r="L329" s="194">
        <f t="shared" si="81"/>
        <v>0.60435784445160401</v>
      </c>
      <c r="M329" s="194">
        <f t="shared" si="81"/>
        <v>0.60435784445160401</v>
      </c>
      <c r="N329" s="194">
        <f t="shared" si="81"/>
        <v>0.60435784445160401</v>
      </c>
      <c r="O329" s="194">
        <f t="shared" si="81"/>
        <v>0.33898658826357436</v>
      </c>
      <c r="P329" s="194">
        <f t="shared" si="81"/>
        <v>0.24054198685119213</v>
      </c>
      <c r="Q329" s="194">
        <f t="shared" si="81"/>
        <v>0.60435784445160401</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253</v>
      </c>
      <c r="G330" s="91" t="s">
        <v>167</v>
      </c>
      <c r="H330" s="91"/>
      <c r="I330" s="91"/>
      <c r="J330" s="197">
        <f t="shared" ref="J330:Y330" si="82">IF(J$39, J49, J$35)</f>
        <v>0.60435784445160401</v>
      </c>
      <c r="K330" s="197">
        <f t="shared" si="82"/>
        <v>0.60435784445160401</v>
      </c>
      <c r="L330" s="197">
        <f t="shared" si="82"/>
        <v>0.60435784445160401</v>
      </c>
      <c r="M330" s="197">
        <f t="shared" si="82"/>
        <v>0.60435784445160401</v>
      </c>
      <c r="N330" s="197">
        <f t="shared" si="82"/>
        <v>0.60435784445160401</v>
      </c>
      <c r="O330" s="197">
        <f t="shared" si="82"/>
        <v>0.33898658826357436</v>
      </c>
      <c r="P330" s="197">
        <f t="shared" si="82"/>
        <v>0.24054198685119213</v>
      </c>
      <c r="Q330" s="197">
        <f t="shared" si="82"/>
        <v>0.60435784445160401</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957</v>
      </c>
      <c r="G334" s="46"/>
      <c r="I334" t="s">
        <v>154</v>
      </c>
      <c r="AQ334" s="3"/>
    </row>
    <row r="335" spans="3:43" x14ac:dyDescent="0.25">
      <c r="E335" s="60"/>
      <c r="F335" s="111" t="s">
        <v>247</v>
      </c>
      <c r="G335" s="111" t="s">
        <v>207</v>
      </c>
      <c r="H335" s="90"/>
      <c r="I335" s="90"/>
      <c r="J335" s="112"/>
      <c r="K335" s="169">
        <f t="shared" ref="K335:P341" si="83">(1 - K315) * K105</f>
        <v>0.92818606930818814</v>
      </c>
      <c r="L335" s="169">
        <f t="shared" si="83"/>
        <v>0</v>
      </c>
      <c r="M335" s="169">
        <f t="shared" si="83"/>
        <v>0</v>
      </c>
      <c r="N335" s="169">
        <f t="shared" si="83"/>
        <v>0</v>
      </c>
      <c r="O335" s="169">
        <f t="shared" si="83"/>
        <v>0</v>
      </c>
      <c r="P335" s="169">
        <f t="shared" si="83"/>
        <v>0</v>
      </c>
      <c r="Q335" s="112"/>
      <c r="R335" s="169">
        <f t="shared" ref="R335:Y341" si="84">(1 - R315) * R105</f>
        <v>615.75443298228117</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248</v>
      </c>
      <c r="G336" s="113" t="s">
        <v>207</v>
      </c>
      <c r="J336" s="121"/>
      <c r="K336" s="191">
        <f t="shared" si="83"/>
        <v>16.234369534153039</v>
      </c>
      <c r="L336" s="191">
        <f t="shared" si="83"/>
        <v>0</v>
      </c>
      <c r="M336" s="191">
        <f t="shared" si="83"/>
        <v>0</v>
      </c>
      <c r="N336" s="191">
        <f t="shared" si="83"/>
        <v>0</v>
      </c>
      <c r="O336" s="191">
        <f t="shared" si="83"/>
        <v>0</v>
      </c>
      <c r="P336" s="191">
        <f t="shared" si="83"/>
        <v>0</v>
      </c>
      <c r="Q336" s="121"/>
      <c r="R336" s="191">
        <f t="shared" si="84"/>
        <v>3480.0674308284702</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249</v>
      </c>
      <c r="G337" s="113" t="s">
        <v>207</v>
      </c>
      <c r="J337" s="121"/>
      <c r="K337" s="191">
        <f t="shared" si="83"/>
        <v>82.590452577455792</v>
      </c>
      <c r="L337" s="191">
        <f t="shared" si="83"/>
        <v>0</v>
      </c>
      <c r="M337" s="191">
        <f t="shared" si="83"/>
        <v>0</v>
      </c>
      <c r="N337" s="191">
        <f t="shared" si="83"/>
        <v>0</v>
      </c>
      <c r="O337" s="191">
        <f t="shared" si="83"/>
        <v>0</v>
      </c>
      <c r="P337" s="191">
        <f t="shared" si="83"/>
        <v>0</v>
      </c>
      <c r="Q337" s="121"/>
      <c r="R337" s="191">
        <f t="shared" si="84"/>
        <v>1554.6667235714485</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212</v>
      </c>
      <c r="G338" s="113" t="s">
        <v>212</v>
      </c>
      <c r="J338" s="121"/>
      <c r="K338" s="191">
        <f t="shared" si="83"/>
        <v>35.97925242181708</v>
      </c>
      <c r="L338" s="191">
        <f t="shared" si="83"/>
        <v>0</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250</v>
      </c>
      <c r="G339" s="113" t="s">
        <v>251</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252</v>
      </c>
      <c r="G340" s="113" t="s">
        <v>251</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253</v>
      </c>
      <c r="G341" s="115" t="s">
        <v>254</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958</v>
      </c>
      <c r="G343" s="46"/>
      <c r="I343" t="s">
        <v>154</v>
      </c>
      <c r="AQ343" s="3"/>
    </row>
    <row r="344" spans="5:43" x14ac:dyDescent="0.25">
      <c r="E344" s="60"/>
      <c r="F344" s="111" t="s">
        <v>247</v>
      </c>
      <c r="G344" s="111" t="s">
        <v>207</v>
      </c>
      <c r="H344" s="90"/>
      <c r="I344" s="90"/>
      <c r="J344" s="112"/>
      <c r="K344" s="169">
        <f t="shared" ref="K344:P350" si="85">(1 - K324) * K152</f>
        <v>0</v>
      </c>
      <c r="L344" s="169">
        <f t="shared" si="85"/>
        <v>0</v>
      </c>
      <c r="M344" s="169">
        <f t="shared" si="85"/>
        <v>0</v>
      </c>
      <c r="N344" s="169">
        <f t="shared" si="85"/>
        <v>0</v>
      </c>
      <c r="O344" s="169">
        <f t="shared" si="85"/>
        <v>0</v>
      </c>
      <c r="P344" s="169">
        <f t="shared" si="85"/>
        <v>0</v>
      </c>
      <c r="Q344" s="112"/>
      <c r="R344" s="169">
        <f t="shared" ref="R344:Y350" si="86">(1 - R324) * R152</f>
        <v>4185.4514724520768</v>
      </c>
      <c r="S344" s="169">
        <f t="shared" si="86"/>
        <v>0</v>
      </c>
      <c r="T344" s="169">
        <f t="shared" si="86"/>
        <v>4.4000000000000011E-2</v>
      </c>
      <c r="U344" s="169">
        <f t="shared" si="86"/>
        <v>0</v>
      </c>
      <c r="V344" s="169">
        <f t="shared" si="86"/>
        <v>0</v>
      </c>
      <c r="W344" s="169">
        <f t="shared" si="86"/>
        <v>0</v>
      </c>
      <c r="X344" s="169">
        <f t="shared" si="86"/>
        <v>0</v>
      </c>
      <c r="Y344" s="169">
        <f t="shared" si="86"/>
        <v>0</v>
      </c>
      <c r="AQ344" s="3"/>
    </row>
    <row r="345" spans="5:43" x14ac:dyDescent="0.25">
      <c r="E345" s="60"/>
      <c r="F345" s="113" t="s">
        <v>248</v>
      </c>
      <c r="G345" s="113" t="s">
        <v>207</v>
      </c>
      <c r="J345" s="121"/>
      <c r="K345" s="191">
        <f t="shared" si="85"/>
        <v>5.8040704218949681</v>
      </c>
      <c r="L345" s="191">
        <f t="shared" si="85"/>
        <v>0</v>
      </c>
      <c r="M345" s="191">
        <f t="shared" si="85"/>
        <v>0</v>
      </c>
      <c r="N345" s="191">
        <f t="shared" si="85"/>
        <v>0</v>
      </c>
      <c r="O345" s="191">
        <f t="shared" si="85"/>
        <v>0</v>
      </c>
      <c r="P345" s="191">
        <f t="shared" si="85"/>
        <v>0</v>
      </c>
      <c r="Q345" s="121"/>
      <c r="R345" s="191">
        <f t="shared" si="86"/>
        <v>22119.511332572329</v>
      </c>
      <c r="S345" s="191">
        <f t="shared" si="86"/>
        <v>0</v>
      </c>
      <c r="T345" s="191">
        <f t="shared" si="86"/>
        <v>0.47600000000000015</v>
      </c>
      <c r="U345" s="191">
        <f t="shared" si="86"/>
        <v>0</v>
      </c>
      <c r="V345" s="191">
        <f t="shared" si="86"/>
        <v>0</v>
      </c>
      <c r="W345" s="191">
        <f t="shared" si="86"/>
        <v>0</v>
      </c>
      <c r="X345" s="191">
        <f t="shared" si="86"/>
        <v>0</v>
      </c>
      <c r="Y345" s="191">
        <f t="shared" si="86"/>
        <v>0</v>
      </c>
      <c r="AQ345" s="3"/>
    </row>
    <row r="346" spans="5:43" x14ac:dyDescent="0.25">
      <c r="E346" s="60"/>
      <c r="F346" s="113" t="s">
        <v>249</v>
      </c>
      <c r="G346" s="113" t="s">
        <v>207</v>
      </c>
      <c r="J346" s="121"/>
      <c r="K346" s="191">
        <f t="shared" si="85"/>
        <v>103.0129523979803</v>
      </c>
      <c r="L346" s="191">
        <f t="shared" si="85"/>
        <v>0</v>
      </c>
      <c r="M346" s="191">
        <f t="shared" si="85"/>
        <v>0</v>
      </c>
      <c r="N346" s="191">
        <f t="shared" si="85"/>
        <v>0</v>
      </c>
      <c r="O346" s="191">
        <f t="shared" si="85"/>
        <v>0</v>
      </c>
      <c r="P346" s="191">
        <f t="shared" si="85"/>
        <v>0</v>
      </c>
      <c r="Q346" s="121"/>
      <c r="R346" s="191">
        <f t="shared" si="86"/>
        <v>9947.1981126761348</v>
      </c>
      <c r="S346" s="191">
        <f t="shared" si="86"/>
        <v>0</v>
      </c>
      <c r="T346" s="191">
        <f t="shared" si="86"/>
        <v>1.202</v>
      </c>
      <c r="U346" s="191">
        <f t="shared" si="86"/>
        <v>0</v>
      </c>
      <c r="V346" s="191">
        <f t="shared" si="86"/>
        <v>0</v>
      </c>
      <c r="W346" s="191">
        <f t="shared" si="86"/>
        <v>0</v>
      </c>
      <c r="X346" s="191">
        <f t="shared" si="86"/>
        <v>0</v>
      </c>
      <c r="Y346" s="191">
        <f t="shared" si="86"/>
        <v>0</v>
      </c>
      <c r="AQ346" s="3"/>
    </row>
    <row r="347" spans="5:43" x14ac:dyDescent="0.25">
      <c r="E347" s="60"/>
      <c r="F347" s="113" t="s">
        <v>212</v>
      </c>
      <c r="G347" s="113" t="s">
        <v>212</v>
      </c>
      <c r="J347" s="121"/>
      <c r="K347" s="191">
        <f t="shared" si="85"/>
        <v>27.694950888387719</v>
      </c>
      <c r="L347" s="191">
        <f t="shared" si="85"/>
        <v>0</v>
      </c>
      <c r="M347" s="191">
        <f t="shared" si="85"/>
        <v>0</v>
      </c>
      <c r="N347" s="191">
        <f t="shared" si="85"/>
        <v>0</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250</v>
      </c>
      <c r="G348" s="113" t="s">
        <v>251</v>
      </c>
      <c r="J348" s="121"/>
      <c r="K348" s="191">
        <f t="shared" si="85"/>
        <v>0</v>
      </c>
      <c r="L348" s="191">
        <f t="shared" si="85"/>
        <v>0</v>
      </c>
      <c r="M348" s="191">
        <f t="shared" si="85"/>
        <v>0</v>
      </c>
      <c r="N348" s="191">
        <f t="shared" si="85"/>
        <v>0</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252</v>
      </c>
      <c r="G349" s="113" t="s">
        <v>251</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253</v>
      </c>
      <c r="G350" s="115" t="s">
        <v>254</v>
      </c>
      <c r="H350" s="91"/>
      <c r="I350" s="91"/>
      <c r="J350" s="116"/>
      <c r="K350" s="143">
        <f t="shared" si="85"/>
        <v>0</v>
      </c>
      <c r="L350" s="143">
        <f t="shared" si="85"/>
        <v>0</v>
      </c>
      <c r="M350" s="143">
        <f t="shared" si="85"/>
        <v>0</v>
      </c>
      <c r="N350" s="143">
        <f t="shared" si="85"/>
        <v>0</v>
      </c>
      <c r="O350" s="143">
        <f t="shared" si="85"/>
        <v>0</v>
      </c>
      <c r="P350" s="143">
        <f t="shared" si="85"/>
        <v>0</v>
      </c>
      <c r="Q350" s="116"/>
      <c r="R350" s="143">
        <f t="shared" si="86"/>
        <v>0</v>
      </c>
      <c r="S350" s="143">
        <f t="shared" si="86"/>
        <v>0</v>
      </c>
      <c r="T350" s="143">
        <f t="shared" si="86"/>
        <v>0.41199999999999992</v>
      </c>
      <c r="U350" s="143">
        <f t="shared" si="86"/>
        <v>0</v>
      </c>
      <c r="V350" s="143">
        <f t="shared" si="86"/>
        <v>0</v>
      </c>
      <c r="W350" s="143">
        <f t="shared" si="86"/>
        <v>0</v>
      </c>
      <c r="X350" s="143">
        <f t="shared" si="86"/>
        <v>0</v>
      </c>
      <c r="Y350" s="143">
        <f t="shared" si="86"/>
        <v>0</v>
      </c>
      <c r="AQ350" s="3"/>
    </row>
    <row r="351" spans="5:43" x14ac:dyDescent="0.25">
      <c r="AQ351" s="3"/>
    </row>
    <row r="352" spans="5:43" x14ac:dyDescent="0.25">
      <c r="E352" s="60" t="s">
        <v>959</v>
      </c>
      <c r="G352" s="46"/>
      <c r="I352" t="s">
        <v>154</v>
      </c>
      <c r="AQ352" s="3"/>
    </row>
    <row r="353" spans="3:43" x14ac:dyDescent="0.25">
      <c r="E353" s="60"/>
      <c r="F353" s="111" t="s">
        <v>247</v>
      </c>
      <c r="G353" s="111" t="s">
        <v>207</v>
      </c>
      <c r="H353" s="90"/>
      <c r="I353" s="90"/>
      <c r="J353" s="112"/>
      <c r="K353" s="169">
        <f t="shared" ref="K353:P359" si="87">K58+K335+K344</f>
        <v>584.41884165229453</v>
      </c>
      <c r="L353" s="169">
        <f t="shared" si="87"/>
        <v>17.287783850161901</v>
      </c>
      <c r="M353" s="169">
        <f t="shared" si="87"/>
        <v>483.15300000000002</v>
      </c>
      <c r="N353" s="169">
        <f t="shared" si="87"/>
        <v>11.680688004034213</v>
      </c>
      <c r="O353" s="169">
        <f t="shared" si="87"/>
        <v>0.14310184384727981</v>
      </c>
      <c r="P353" s="169">
        <f t="shared" si="87"/>
        <v>501.18634038179846</v>
      </c>
      <c r="Q353" s="112"/>
      <c r="R353" s="169">
        <f t="shared" ref="R353:Y359" si="88">R58+R335+R344</f>
        <v>13715.66896284854</v>
      </c>
      <c r="S353" s="169">
        <f t="shared" si="88"/>
        <v>52.1242510546167</v>
      </c>
      <c r="T353" s="169">
        <f t="shared" si="88"/>
        <v>5844.5739999999987</v>
      </c>
      <c r="U353" s="169">
        <f t="shared" si="88"/>
        <v>0</v>
      </c>
      <c r="V353" s="169">
        <f t="shared" si="88"/>
        <v>64.59099999999998</v>
      </c>
      <c r="W353" s="169">
        <f t="shared" si="88"/>
        <v>0</v>
      </c>
      <c r="X353" s="169">
        <f t="shared" si="88"/>
        <v>115415.10300000002</v>
      </c>
      <c r="Y353" s="169">
        <f t="shared" si="88"/>
        <v>0</v>
      </c>
      <c r="AQ353" s="3"/>
    </row>
    <row r="354" spans="3:43" x14ac:dyDescent="0.25">
      <c r="E354" s="60"/>
      <c r="F354" s="113" t="s">
        <v>248</v>
      </c>
      <c r="G354" s="113" t="s">
        <v>207</v>
      </c>
      <c r="J354" s="121"/>
      <c r="K354" s="191">
        <f t="shared" si="87"/>
        <v>16256.552449380286</v>
      </c>
      <c r="L354" s="191">
        <f t="shared" si="87"/>
        <v>89.69185070579644</v>
      </c>
      <c r="M354" s="191">
        <f t="shared" si="87"/>
        <v>7645.8209999999999</v>
      </c>
      <c r="N354" s="191">
        <f t="shared" si="87"/>
        <v>47.630057456640778</v>
      </c>
      <c r="O354" s="191">
        <f t="shared" si="87"/>
        <v>0.55054459369022912</v>
      </c>
      <c r="P354" s="191">
        <f t="shared" si="87"/>
        <v>2309.276574110876</v>
      </c>
      <c r="Q354" s="121"/>
      <c r="R354" s="191">
        <f t="shared" si="88"/>
        <v>74880.496412313048</v>
      </c>
      <c r="S354" s="191">
        <f t="shared" si="88"/>
        <v>227.37680998266927</v>
      </c>
      <c r="T354" s="191">
        <f t="shared" si="88"/>
        <v>27694.664000000004</v>
      </c>
      <c r="U354" s="191">
        <f t="shared" si="88"/>
        <v>0</v>
      </c>
      <c r="V354" s="191">
        <f t="shared" si="88"/>
        <v>326.78199999999998</v>
      </c>
      <c r="W354" s="191">
        <f t="shared" si="88"/>
        <v>0</v>
      </c>
      <c r="X354" s="191">
        <f t="shared" si="88"/>
        <v>421753.54499999998</v>
      </c>
      <c r="Y354" s="191">
        <f t="shared" si="88"/>
        <v>0</v>
      </c>
      <c r="AQ354" s="3"/>
    </row>
    <row r="355" spans="3:43" x14ac:dyDescent="0.25">
      <c r="E355" s="60"/>
      <c r="F355" s="113" t="s">
        <v>249</v>
      </c>
      <c r="G355" s="113" t="s">
        <v>207</v>
      </c>
      <c r="J355" s="121"/>
      <c r="K355" s="191">
        <f t="shared" si="87"/>
        <v>163502.90873996823</v>
      </c>
      <c r="L355" s="191">
        <f t="shared" si="87"/>
        <v>74.176229689763986</v>
      </c>
      <c r="M355" s="191">
        <f t="shared" si="87"/>
        <v>33432.284</v>
      </c>
      <c r="N355" s="191">
        <f t="shared" si="87"/>
        <v>60.893809608235522</v>
      </c>
      <c r="O355" s="191">
        <f t="shared" si="87"/>
        <v>0.77911003872407869</v>
      </c>
      <c r="P355" s="191">
        <f t="shared" si="87"/>
        <v>2960.6388173812438</v>
      </c>
      <c r="Q355" s="121"/>
      <c r="R355" s="191">
        <f t="shared" si="88"/>
        <v>34204.372287182821</v>
      </c>
      <c r="S355" s="191">
        <f t="shared" si="88"/>
        <v>201.46913946310823</v>
      </c>
      <c r="T355" s="191">
        <f t="shared" si="88"/>
        <v>29331.213000000003</v>
      </c>
      <c r="U355" s="191">
        <f t="shared" si="88"/>
        <v>0</v>
      </c>
      <c r="V355" s="191">
        <f t="shared" si="88"/>
        <v>309.74</v>
      </c>
      <c r="W355" s="191">
        <f t="shared" si="88"/>
        <v>0</v>
      </c>
      <c r="X355" s="191">
        <f t="shared" si="88"/>
        <v>491598.924</v>
      </c>
      <c r="Y355" s="191">
        <f t="shared" si="88"/>
        <v>0</v>
      </c>
      <c r="AQ355" s="3"/>
    </row>
    <row r="356" spans="3:43" x14ac:dyDescent="0.25">
      <c r="E356" s="60"/>
      <c r="F356" s="113" t="s">
        <v>212</v>
      </c>
      <c r="G356" s="113" t="s">
        <v>212</v>
      </c>
      <c r="J356" s="121"/>
      <c r="K356" s="191">
        <f t="shared" si="87"/>
        <v>90264.674203310205</v>
      </c>
      <c r="L356" s="191">
        <f t="shared" si="87"/>
        <v>59</v>
      </c>
      <c r="M356" s="191">
        <f t="shared" si="87"/>
        <v>5142</v>
      </c>
      <c r="N356" s="191">
        <f t="shared" si="87"/>
        <v>24</v>
      </c>
      <c r="O356" s="191">
        <f t="shared" si="87"/>
        <v>1</v>
      </c>
      <c r="P356" s="191">
        <f t="shared" si="87"/>
        <v>148</v>
      </c>
      <c r="Q356" s="121"/>
      <c r="R356" s="191">
        <f t="shared" si="88"/>
        <v>14150.894574354708</v>
      </c>
      <c r="S356" s="191">
        <f t="shared" si="88"/>
        <v>7</v>
      </c>
      <c r="T356" s="191">
        <f t="shared" si="88"/>
        <v>549</v>
      </c>
      <c r="U356" s="191">
        <f t="shared" si="88"/>
        <v>0</v>
      </c>
      <c r="V356" s="191">
        <f t="shared" si="88"/>
        <v>9</v>
      </c>
      <c r="W356" s="191">
        <f t="shared" si="88"/>
        <v>0</v>
      </c>
      <c r="X356" s="191">
        <f t="shared" si="88"/>
        <v>263</v>
      </c>
      <c r="Y356" s="191">
        <f t="shared" si="88"/>
        <v>0</v>
      </c>
      <c r="AQ356" s="3"/>
    </row>
    <row r="357" spans="3:43" x14ac:dyDescent="0.25">
      <c r="E357" s="60"/>
      <c r="F357" s="113" t="s">
        <v>250</v>
      </c>
      <c r="G357" s="113" t="s">
        <v>251</v>
      </c>
      <c r="J357" s="121"/>
      <c r="K357" s="191">
        <f t="shared" si="87"/>
        <v>0</v>
      </c>
      <c r="L357" s="191">
        <f t="shared" si="87"/>
        <v>0</v>
      </c>
      <c r="M357" s="191">
        <f t="shared" si="87"/>
        <v>0</v>
      </c>
      <c r="N357" s="191">
        <f t="shared" si="87"/>
        <v>992</v>
      </c>
      <c r="O357" s="191">
        <f t="shared" si="87"/>
        <v>8</v>
      </c>
      <c r="P357" s="191">
        <f t="shared" si="87"/>
        <v>14725</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252</v>
      </c>
      <c r="G358" s="113" t="s">
        <v>251</v>
      </c>
      <c r="J358" s="121"/>
      <c r="K358" s="191">
        <f t="shared" si="87"/>
        <v>0</v>
      </c>
      <c r="L358" s="191">
        <f t="shared" si="87"/>
        <v>0</v>
      </c>
      <c r="M358" s="191">
        <f t="shared" si="87"/>
        <v>0</v>
      </c>
      <c r="N358" s="191">
        <f t="shared" si="87"/>
        <v>23.583333333333332</v>
      </c>
      <c r="O358" s="191">
        <f t="shared" si="87"/>
        <v>10.416666666666666</v>
      </c>
      <c r="P358" s="191">
        <f t="shared" si="87"/>
        <v>1297.6666666666667</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253</v>
      </c>
      <c r="G359" s="115" t="s">
        <v>254</v>
      </c>
      <c r="H359" s="91"/>
      <c r="I359" s="91"/>
      <c r="J359" s="116"/>
      <c r="K359" s="143">
        <f t="shared" si="87"/>
        <v>0</v>
      </c>
      <c r="L359" s="143">
        <f t="shared" si="87"/>
        <v>0</v>
      </c>
      <c r="M359" s="143">
        <f t="shared" si="87"/>
        <v>0</v>
      </c>
      <c r="N359" s="143">
        <f t="shared" si="87"/>
        <v>57.555</v>
      </c>
      <c r="O359" s="143">
        <f t="shared" si="87"/>
        <v>2.9279999999999999</v>
      </c>
      <c r="P359" s="143">
        <f t="shared" si="87"/>
        <v>1841.1489999999999</v>
      </c>
      <c r="Q359" s="116"/>
      <c r="R359" s="143">
        <f t="shared" si="88"/>
        <v>0</v>
      </c>
      <c r="S359" s="143">
        <f t="shared" si="88"/>
        <v>0</v>
      </c>
      <c r="T359" s="143">
        <f t="shared" si="88"/>
        <v>6086.7480000000014</v>
      </c>
      <c r="U359" s="143">
        <f t="shared" si="88"/>
        <v>0</v>
      </c>
      <c r="V359" s="143">
        <f t="shared" si="88"/>
        <v>184.05</v>
      </c>
      <c r="W359" s="143">
        <f t="shared" si="88"/>
        <v>0</v>
      </c>
      <c r="X359" s="143">
        <f t="shared" si="88"/>
        <v>18732.55</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955</v>
      </c>
      <c r="G363" s="46"/>
      <c r="I363" t="s">
        <v>154</v>
      </c>
      <c r="AQ363" s="3"/>
    </row>
    <row r="364" spans="3:43" x14ac:dyDescent="0.25">
      <c r="E364" s="60"/>
      <c r="F364" s="111" t="s">
        <v>247</v>
      </c>
      <c r="G364" s="111" t="s">
        <v>207</v>
      </c>
      <c r="H364" s="90"/>
      <c r="I364" s="90"/>
      <c r="J364" s="169">
        <f t="shared" ref="J364:J370" si="89">(1 - J315) * J114</f>
        <v>12473.374056752587</v>
      </c>
      <c r="K364" s="112"/>
      <c r="L364" s="169">
        <f t="shared" ref="L364:L370" si="90">(1 - L315) * L114</f>
        <v>103.1007712005924</v>
      </c>
      <c r="M364" s="112"/>
      <c r="N364" s="169">
        <f t="shared" ref="N364:Q370" si="91">(1 - N315) * N114</f>
        <v>163.82253108963863</v>
      </c>
      <c r="O364" s="169">
        <f t="shared" si="91"/>
        <v>0</v>
      </c>
      <c r="P364" s="169">
        <f t="shared" si="91"/>
        <v>0</v>
      </c>
      <c r="Q364" s="169">
        <f t="shared" si="91"/>
        <v>13.783152408986753</v>
      </c>
      <c r="R364" s="112"/>
      <c r="S364" s="112"/>
      <c r="T364" s="112"/>
      <c r="U364" s="112"/>
      <c r="V364" s="112"/>
      <c r="W364" s="112"/>
      <c r="X364" s="112"/>
      <c r="Y364" s="112"/>
      <c r="AQ364" s="3"/>
    </row>
    <row r="365" spans="3:43" x14ac:dyDescent="0.25">
      <c r="E365" s="60"/>
      <c r="F365" s="113" t="s">
        <v>248</v>
      </c>
      <c r="G365" s="113" t="s">
        <v>207</v>
      </c>
      <c r="J365" s="191">
        <f t="shared" si="89"/>
        <v>45904.203197945571</v>
      </c>
      <c r="K365" s="121"/>
      <c r="L365" s="191">
        <f t="shared" si="90"/>
        <v>533.88518349549872</v>
      </c>
      <c r="M365" s="121"/>
      <c r="N365" s="191">
        <f t="shared" si="91"/>
        <v>818.74806569031853</v>
      </c>
      <c r="O365" s="191">
        <f t="shared" si="91"/>
        <v>0</v>
      </c>
      <c r="P365" s="191">
        <f t="shared" si="91"/>
        <v>0</v>
      </c>
      <c r="Q365" s="191">
        <f t="shared" si="91"/>
        <v>196.42143268156701</v>
      </c>
      <c r="R365" s="121"/>
      <c r="S365" s="121"/>
      <c r="T365" s="121"/>
      <c r="U365" s="121"/>
      <c r="V365" s="121"/>
      <c r="W365" s="121"/>
      <c r="X365" s="121"/>
      <c r="Y365" s="121"/>
      <c r="AQ365" s="3"/>
    </row>
    <row r="366" spans="3:43" x14ac:dyDescent="0.25">
      <c r="E366" s="60"/>
      <c r="F366" s="113" t="s">
        <v>249</v>
      </c>
      <c r="G366" s="113" t="s">
        <v>207</v>
      </c>
      <c r="J366" s="191">
        <f t="shared" si="89"/>
        <v>39652.245891575767</v>
      </c>
      <c r="K366" s="121"/>
      <c r="L366" s="191">
        <f t="shared" si="90"/>
        <v>417.16728155422982</v>
      </c>
      <c r="M366" s="121"/>
      <c r="N366" s="191">
        <f t="shared" si="91"/>
        <v>1182.8323150682054</v>
      </c>
      <c r="O366" s="191">
        <f t="shared" si="91"/>
        <v>0</v>
      </c>
      <c r="P366" s="191">
        <f t="shared" si="91"/>
        <v>0</v>
      </c>
      <c r="Q366" s="191">
        <f t="shared" si="91"/>
        <v>214.63376942696308</v>
      </c>
      <c r="R366" s="121"/>
      <c r="S366" s="121"/>
      <c r="T366" s="121"/>
      <c r="U366" s="121"/>
      <c r="V366" s="121"/>
      <c r="W366" s="121"/>
      <c r="X366" s="121"/>
      <c r="Y366" s="121"/>
      <c r="AQ366" s="3"/>
    </row>
    <row r="367" spans="3:43" x14ac:dyDescent="0.25">
      <c r="E367" s="60"/>
      <c r="F367" s="113" t="s">
        <v>212</v>
      </c>
      <c r="G367" s="113" t="s">
        <v>212</v>
      </c>
      <c r="J367" s="191">
        <f t="shared" si="89"/>
        <v>35687.220822993324</v>
      </c>
      <c r="K367" s="121"/>
      <c r="L367" s="191">
        <f t="shared" si="90"/>
        <v>411.96244022980551</v>
      </c>
      <c r="M367" s="121"/>
      <c r="N367" s="191">
        <f t="shared" si="91"/>
        <v>22.786859867150817</v>
      </c>
      <c r="O367" s="191">
        <f t="shared" si="91"/>
        <v>0</v>
      </c>
      <c r="P367" s="191">
        <f t="shared" si="91"/>
        <v>0</v>
      </c>
      <c r="Q367" s="191">
        <f t="shared" si="91"/>
        <v>50.370953390543903</v>
      </c>
      <c r="R367" s="121"/>
      <c r="S367" s="121"/>
      <c r="T367" s="121"/>
      <c r="U367" s="121"/>
      <c r="V367" s="121"/>
      <c r="W367" s="121"/>
      <c r="X367" s="121"/>
      <c r="Y367" s="121"/>
      <c r="AQ367" s="3"/>
    </row>
    <row r="368" spans="3:43" x14ac:dyDescent="0.25">
      <c r="E368" s="60"/>
      <c r="F368" s="113" t="s">
        <v>250</v>
      </c>
      <c r="G368" s="113" t="s">
        <v>251</v>
      </c>
      <c r="J368" s="191">
        <f t="shared" si="89"/>
        <v>0</v>
      </c>
      <c r="K368" s="121"/>
      <c r="L368" s="191">
        <f t="shared" si="90"/>
        <v>0</v>
      </c>
      <c r="M368" s="121"/>
      <c r="N368" s="191">
        <f t="shared" si="91"/>
        <v>1252.6776384862646</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252</v>
      </c>
      <c r="G369" s="113" t="s">
        <v>251</v>
      </c>
      <c r="J369" s="191">
        <f t="shared" si="89"/>
        <v>0</v>
      </c>
      <c r="K369" s="121"/>
      <c r="L369" s="191">
        <f t="shared" si="90"/>
        <v>0</v>
      </c>
      <c r="M369" s="121"/>
      <c r="N369" s="191">
        <f t="shared" si="91"/>
        <v>910.8747404790023</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253</v>
      </c>
      <c r="G370" s="115" t="s">
        <v>254</v>
      </c>
      <c r="H370" s="91"/>
      <c r="I370" s="91"/>
      <c r="J370" s="143">
        <f t="shared" si="89"/>
        <v>0</v>
      </c>
      <c r="K370" s="116"/>
      <c r="L370" s="143">
        <f t="shared" si="90"/>
        <v>0</v>
      </c>
      <c r="M370" s="116"/>
      <c r="N370" s="143">
        <f t="shared" si="91"/>
        <v>190.63486964858373</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956</v>
      </c>
      <c r="G372" s="46"/>
      <c r="I372" t="s">
        <v>154</v>
      </c>
      <c r="AQ372" s="3"/>
    </row>
    <row r="373" spans="5:43" x14ac:dyDescent="0.25">
      <c r="E373" s="60"/>
      <c r="F373" s="111" t="s">
        <v>247</v>
      </c>
      <c r="G373" s="111" t="s">
        <v>207</v>
      </c>
      <c r="H373" s="90"/>
      <c r="I373" s="90"/>
      <c r="J373" s="169">
        <f t="shared" ref="J373:J379" si="92">(1 - J324) * J161</f>
        <v>12590.363917279254</v>
      </c>
      <c r="K373" s="112"/>
      <c r="L373" s="169">
        <f t="shared" ref="L373:L379" si="93">(1 - L324) * L161</f>
        <v>107.85113335231846</v>
      </c>
      <c r="M373" s="112"/>
      <c r="N373" s="169">
        <f t="shared" ref="N373:Q379" si="94">(1 - N324) * N161</f>
        <v>419.6271699442064</v>
      </c>
      <c r="O373" s="169">
        <f t="shared" si="94"/>
        <v>0</v>
      </c>
      <c r="P373" s="169">
        <f t="shared" si="94"/>
        <v>710.43272002601282</v>
      </c>
      <c r="Q373" s="169">
        <f t="shared" si="94"/>
        <v>7.2864960377332677</v>
      </c>
      <c r="R373" s="112"/>
      <c r="S373" s="112"/>
      <c r="T373" s="112"/>
      <c r="U373" s="112"/>
      <c r="V373" s="112"/>
      <c r="W373" s="112"/>
      <c r="X373" s="112"/>
      <c r="Y373" s="112"/>
      <c r="AQ373" s="3"/>
    </row>
    <row r="374" spans="5:43" x14ac:dyDescent="0.25">
      <c r="E374" s="60"/>
      <c r="F374" s="113" t="s">
        <v>248</v>
      </c>
      <c r="G374" s="113" t="s">
        <v>207</v>
      </c>
      <c r="J374" s="191">
        <f t="shared" si="92"/>
        <v>44509.864595761544</v>
      </c>
      <c r="K374" s="121"/>
      <c r="L374" s="191">
        <f t="shared" si="93"/>
        <v>559.36354503542964</v>
      </c>
      <c r="M374" s="121"/>
      <c r="N374" s="191">
        <f t="shared" si="94"/>
        <v>1820.8263064756061</v>
      </c>
      <c r="O374" s="191">
        <f t="shared" si="94"/>
        <v>0</v>
      </c>
      <c r="P374" s="191">
        <f t="shared" si="94"/>
        <v>3218.6134380451745</v>
      </c>
      <c r="Q374" s="191">
        <f t="shared" si="94"/>
        <v>87.757651485849337</v>
      </c>
      <c r="R374" s="121"/>
      <c r="S374" s="121"/>
      <c r="T374" s="121"/>
      <c r="U374" s="121"/>
      <c r="V374" s="121"/>
      <c r="W374" s="121"/>
      <c r="X374" s="121"/>
      <c r="Y374" s="121"/>
      <c r="AQ374" s="3"/>
    </row>
    <row r="375" spans="5:43" x14ac:dyDescent="0.25">
      <c r="E375" s="60"/>
      <c r="F375" s="113" t="s">
        <v>249</v>
      </c>
      <c r="G375" s="113" t="s">
        <v>207</v>
      </c>
      <c r="J375" s="191">
        <f t="shared" si="92"/>
        <v>40527.559585736744</v>
      </c>
      <c r="K375" s="121"/>
      <c r="L375" s="191">
        <f t="shared" si="93"/>
        <v>444.43611463570085</v>
      </c>
      <c r="M375" s="121"/>
      <c r="N375" s="191">
        <f t="shared" si="94"/>
        <v>1799.0169282931556</v>
      </c>
      <c r="O375" s="191">
        <f t="shared" si="94"/>
        <v>0</v>
      </c>
      <c r="P375" s="191">
        <f t="shared" si="94"/>
        <v>3498.7266154088893</v>
      </c>
      <c r="Q375" s="191">
        <f t="shared" si="94"/>
        <v>103.42253574673099</v>
      </c>
      <c r="R375" s="121"/>
      <c r="S375" s="121"/>
      <c r="T375" s="121"/>
      <c r="U375" s="121"/>
      <c r="V375" s="121"/>
      <c r="W375" s="121"/>
      <c r="X375" s="121"/>
      <c r="Y375" s="121"/>
      <c r="AQ375" s="3"/>
    </row>
    <row r="376" spans="5:43" x14ac:dyDescent="0.25">
      <c r="E376" s="60"/>
      <c r="F376" s="113" t="s">
        <v>212</v>
      </c>
      <c r="G376" s="113" t="s">
        <v>212</v>
      </c>
      <c r="J376" s="191">
        <f t="shared" si="92"/>
        <v>37425.769704100516</v>
      </c>
      <c r="K376" s="121"/>
      <c r="L376" s="191">
        <f t="shared" si="93"/>
        <v>248.46327368439268</v>
      </c>
      <c r="M376" s="121"/>
      <c r="N376" s="191">
        <f t="shared" si="94"/>
        <v>36.003436154904037</v>
      </c>
      <c r="O376" s="191">
        <f t="shared" si="94"/>
        <v>0</v>
      </c>
      <c r="P376" s="191">
        <f t="shared" si="94"/>
        <v>6.835122118339271</v>
      </c>
      <c r="Q376" s="191">
        <f t="shared" si="94"/>
        <v>21.364676399613383</v>
      </c>
      <c r="R376" s="121"/>
      <c r="S376" s="121"/>
      <c r="T376" s="121"/>
      <c r="U376" s="121"/>
      <c r="V376" s="121"/>
      <c r="W376" s="121"/>
      <c r="X376" s="121"/>
      <c r="Y376" s="121"/>
      <c r="AQ376" s="3"/>
    </row>
    <row r="377" spans="5:43" x14ac:dyDescent="0.25">
      <c r="E377" s="60"/>
      <c r="F377" s="113" t="s">
        <v>250</v>
      </c>
      <c r="G377" s="113" t="s">
        <v>251</v>
      </c>
      <c r="J377" s="191">
        <f t="shared" si="92"/>
        <v>0</v>
      </c>
      <c r="K377" s="121"/>
      <c r="L377" s="191">
        <f t="shared" si="93"/>
        <v>0</v>
      </c>
      <c r="M377" s="121"/>
      <c r="N377" s="191">
        <f t="shared" si="94"/>
        <v>2033.9963216743038</v>
      </c>
      <c r="O377" s="191">
        <f t="shared" si="94"/>
        <v>0</v>
      </c>
      <c r="P377" s="191">
        <f t="shared" si="94"/>
        <v>2083.1933300671799</v>
      </c>
      <c r="Q377" s="191">
        <f t="shared" si="94"/>
        <v>0</v>
      </c>
      <c r="R377" s="121"/>
      <c r="S377" s="121"/>
      <c r="T377" s="121"/>
      <c r="U377" s="121"/>
      <c r="V377" s="121"/>
      <c r="W377" s="121"/>
      <c r="X377" s="121"/>
      <c r="Y377" s="121"/>
      <c r="AQ377" s="3"/>
    </row>
    <row r="378" spans="5:43" x14ac:dyDescent="0.25">
      <c r="E378" s="60"/>
      <c r="F378" s="113" t="s">
        <v>252</v>
      </c>
      <c r="G378" s="113" t="s">
        <v>251</v>
      </c>
      <c r="J378" s="191">
        <f t="shared" si="92"/>
        <v>0</v>
      </c>
      <c r="K378" s="121"/>
      <c r="L378" s="191">
        <f t="shared" si="93"/>
        <v>0</v>
      </c>
      <c r="M378" s="121"/>
      <c r="N378" s="191">
        <f t="shared" si="94"/>
        <v>614.03662541111055</v>
      </c>
      <c r="O378" s="191">
        <f t="shared" si="94"/>
        <v>0</v>
      </c>
      <c r="P378" s="191">
        <f t="shared" si="94"/>
        <v>0</v>
      </c>
      <c r="Q378" s="191">
        <f t="shared" si="94"/>
        <v>0</v>
      </c>
      <c r="R378" s="121"/>
      <c r="S378" s="121"/>
      <c r="T378" s="121"/>
      <c r="U378" s="121"/>
      <c r="V378" s="121"/>
      <c r="W378" s="121"/>
      <c r="X378" s="121"/>
      <c r="Y378" s="121"/>
      <c r="AQ378" s="3"/>
    </row>
    <row r="379" spans="5:43" x14ac:dyDescent="0.25">
      <c r="E379" s="60"/>
      <c r="F379" s="115" t="s">
        <v>253</v>
      </c>
      <c r="G379" s="115" t="s">
        <v>254</v>
      </c>
      <c r="H379" s="91"/>
      <c r="I379" s="91"/>
      <c r="J379" s="143">
        <f t="shared" si="92"/>
        <v>0</v>
      </c>
      <c r="K379" s="116"/>
      <c r="L379" s="143">
        <f t="shared" si="93"/>
        <v>0</v>
      </c>
      <c r="M379" s="116"/>
      <c r="N379" s="143">
        <f t="shared" si="94"/>
        <v>341.64966186501749</v>
      </c>
      <c r="O379" s="143">
        <f t="shared" si="94"/>
        <v>0</v>
      </c>
      <c r="P379" s="143">
        <f t="shared" si="94"/>
        <v>635.38080079260828</v>
      </c>
      <c r="Q379" s="143">
        <f t="shared" si="94"/>
        <v>0</v>
      </c>
      <c r="R379" s="116"/>
      <c r="S379" s="116"/>
      <c r="T379" s="116"/>
      <c r="U379" s="116"/>
      <c r="V379" s="116"/>
      <c r="W379" s="116"/>
      <c r="X379" s="116"/>
      <c r="Y379" s="116"/>
      <c r="AQ379" s="3"/>
    </row>
    <row r="380" spans="5:43" x14ac:dyDescent="0.25">
      <c r="AQ380" s="3"/>
    </row>
    <row r="381" spans="5:43" x14ac:dyDescent="0.25">
      <c r="E381" s="60" t="s">
        <v>954</v>
      </c>
      <c r="G381" s="46"/>
      <c r="I381" t="s">
        <v>154</v>
      </c>
      <c r="AQ381" s="3"/>
    </row>
    <row r="382" spans="5:43" x14ac:dyDescent="0.25">
      <c r="E382" s="60"/>
      <c r="F382" s="111" t="s">
        <v>247</v>
      </c>
      <c r="G382" s="111" t="s">
        <v>207</v>
      </c>
      <c r="H382" s="90"/>
      <c r="I382" s="90"/>
      <c r="J382" s="169">
        <f t="shared" ref="J382:J388" si="95">J67+J364+J373</f>
        <v>728623.55510337406</v>
      </c>
      <c r="K382" s="112"/>
      <c r="L382" s="169">
        <f t="shared" ref="L382:L388" si="96">L67+L364+L373</f>
        <v>16714.932807878631</v>
      </c>
      <c r="M382" s="112"/>
      <c r="N382" s="169">
        <f t="shared" ref="N382:Q388" si="97">N67+N364+N373</f>
        <v>48039.997165772591</v>
      </c>
      <c r="O382" s="169">
        <f t="shared" si="97"/>
        <v>122.4524465326782</v>
      </c>
      <c r="P382" s="169">
        <f t="shared" si="97"/>
        <v>17124.037470365827</v>
      </c>
      <c r="Q382" s="169">
        <f t="shared" si="97"/>
        <v>10432.607991329018</v>
      </c>
      <c r="R382" s="112"/>
      <c r="S382" s="112"/>
      <c r="T382" s="112"/>
      <c r="U382" s="112"/>
      <c r="V382" s="112"/>
      <c r="W382" s="112"/>
      <c r="X382" s="112"/>
      <c r="Y382" s="112"/>
      <c r="AQ382" s="3"/>
    </row>
    <row r="383" spans="5:43" x14ac:dyDescent="0.25">
      <c r="E383" s="60"/>
      <c r="F383" s="113" t="s">
        <v>248</v>
      </c>
      <c r="G383" s="113" t="s">
        <v>207</v>
      </c>
      <c r="J383" s="191">
        <f t="shared" si="95"/>
        <v>2538014.9194967723</v>
      </c>
      <c r="K383" s="121"/>
      <c r="L383" s="191">
        <f t="shared" si="96"/>
        <v>86718.601524606216</v>
      </c>
      <c r="M383" s="121"/>
      <c r="N383" s="191">
        <f t="shared" si="97"/>
        <v>229725.94657336865</v>
      </c>
      <c r="O383" s="191">
        <f t="shared" si="97"/>
        <v>570.50233209290229</v>
      </c>
      <c r="P383" s="191">
        <f t="shared" si="97"/>
        <v>82110.252176217517</v>
      </c>
      <c r="Q383" s="191">
        <f t="shared" si="97"/>
        <v>61266.868596538225</v>
      </c>
      <c r="R383" s="121"/>
      <c r="S383" s="121"/>
      <c r="T383" s="121"/>
      <c r="U383" s="121"/>
      <c r="V383" s="121"/>
      <c r="W383" s="121"/>
      <c r="X383" s="121"/>
      <c r="Y383" s="121"/>
      <c r="AQ383" s="3"/>
    </row>
    <row r="384" spans="5:43" x14ac:dyDescent="0.25">
      <c r="E384" s="60"/>
      <c r="F384" s="113" t="s">
        <v>249</v>
      </c>
      <c r="G384" s="113" t="s">
        <v>207</v>
      </c>
      <c r="J384" s="191">
        <f t="shared" si="95"/>
        <v>2426681.8099287972</v>
      </c>
      <c r="K384" s="121"/>
      <c r="L384" s="191">
        <f t="shared" si="96"/>
        <v>71674.790840635105</v>
      </c>
      <c r="M384" s="121"/>
      <c r="N384" s="191">
        <f t="shared" si="97"/>
        <v>202127.27538562487</v>
      </c>
      <c r="O384" s="191">
        <f t="shared" si="97"/>
        <v>603.57575198930022</v>
      </c>
      <c r="P384" s="191">
        <f t="shared" si="97"/>
        <v>85679.170237664148</v>
      </c>
      <c r="Q384" s="191">
        <f t="shared" si="97"/>
        <v>139201.6946331106</v>
      </c>
      <c r="R384" s="121"/>
      <c r="S384" s="121"/>
      <c r="T384" s="121"/>
      <c r="U384" s="121"/>
      <c r="V384" s="121"/>
      <c r="W384" s="121"/>
      <c r="X384" s="121"/>
      <c r="Y384" s="121"/>
      <c r="AQ384" s="3"/>
    </row>
    <row r="385" spans="3:43" x14ac:dyDescent="0.25">
      <c r="E385" s="60"/>
      <c r="F385" s="113" t="s">
        <v>212</v>
      </c>
      <c r="G385" s="113" t="s">
        <v>212</v>
      </c>
      <c r="J385" s="191">
        <f t="shared" si="95"/>
        <v>1933377.9905270939</v>
      </c>
      <c r="K385" s="121"/>
      <c r="L385" s="191">
        <f t="shared" si="96"/>
        <v>45710.425713914199</v>
      </c>
      <c r="M385" s="121"/>
      <c r="N385" s="191">
        <f t="shared" si="97"/>
        <v>4627.7902960220554</v>
      </c>
      <c r="O385" s="191">
        <f t="shared" si="97"/>
        <v>9</v>
      </c>
      <c r="P385" s="191">
        <f t="shared" si="97"/>
        <v>354.83512211833926</v>
      </c>
      <c r="Q385" s="191">
        <f t="shared" si="97"/>
        <v>4926.735629790157</v>
      </c>
      <c r="R385" s="121"/>
      <c r="S385" s="121"/>
      <c r="T385" s="121"/>
      <c r="U385" s="121"/>
      <c r="V385" s="121"/>
      <c r="W385" s="121"/>
      <c r="X385" s="121"/>
      <c r="Y385" s="121"/>
      <c r="AQ385" s="3"/>
    </row>
    <row r="386" spans="3:43" x14ac:dyDescent="0.25">
      <c r="E386" s="60"/>
      <c r="F386" s="113" t="s">
        <v>250</v>
      </c>
      <c r="G386" s="113" t="s">
        <v>251</v>
      </c>
      <c r="J386" s="191">
        <f t="shared" si="95"/>
        <v>0</v>
      </c>
      <c r="K386" s="121"/>
      <c r="L386" s="191">
        <f t="shared" si="96"/>
        <v>0</v>
      </c>
      <c r="M386" s="121"/>
      <c r="N386" s="191">
        <f t="shared" si="97"/>
        <v>258581.67396016055</v>
      </c>
      <c r="O386" s="191">
        <f t="shared" si="97"/>
        <v>456</v>
      </c>
      <c r="P386" s="191">
        <f t="shared" si="97"/>
        <v>73567.193330067181</v>
      </c>
      <c r="Q386" s="191">
        <f t="shared" si="97"/>
        <v>0</v>
      </c>
      <c r="R386" s="121"/>
      <c r="S386" s="121"/>
      <c r="T386" s="121"/>
      <c r="U386" s="121"/>
      <c r="V386" s="121"/>
      <c r="W386" s="121"/>
      <c r="X386" s="121"/>
      <c r="Y386" s="121"/>
      <c r="AQ386" s="3"/>
    </row>
    <row r="387" spans="3:43" x14ac:dyDescent="0.25">
      <c r="E387" s="60"/>
      <c r="F387" s="113" t="s">
        <v>252</v>
      </c>
      <c r="G387" s="113" t="s">
        <v>251</v>
      </c>
      <c r="J387" s="191">
        <f t="shared" si="95"/>
        <v>0</v>
      </c>
      <c r="K387" s="121"/>
      <c r="L387" s="191">
        <f t="shared" si="96"/>
        <v>0</v>
      </c>
      <c r="M387" s="121"/>
      <c r="N387" s="191">
        <f t="shared" si="97"/>
        <v>14154.328032556781</v>
      </c>
      <c r="O387" s="191">
        <f t="shared" si="97"/>
        <v>310.16666666666663</v>
      </c>
      <c r="P387" s="191">
        <f t="shared" si="97"/>
        <v>4117.416666666667</v>
      </c>
      <c r="Q387" s="191">
        <f t="shared" si="97"/>
        <v>0</v>
      </c>
      <c r="R387" s="121"/>
      <c r="S387" s="121"/>
      <c r="T387" s="121"/>
      <c r="U387" s="121"/>
      <c r="V387" s="121"/>
      <c r="W387" s="121"/>
      <c r="X387" s="121"/>
      <c r="Y387" s="121"/>
      <c r="AQ387" s="3"/>
    </row>
    <row r="388" spans="3:43" x14ac:dyDescent="0.25">
      <c r="E388" s="60"/>
      <c r="F388" s="115" t="s">
        <v>253</v>
      </c>
      <c r="G388" s="115" t="s">
        <v>254</v>
      </c>
      <c r="H388" s="91"/>
      <c r="I388" s="91"/>
      <c r="J388" s="143">
        <f t="shared" si="95"/>
        <v>0</v>
      </c>
      <c r="K388" s="116"/>
      <c r="L388" s="143">
        <f t="shared" si="96"/>
        <v>0</v>
      </c>
      <c r="M388" s="116"/>
      <c r="N388" s="143">
        <f t="shared" si="97"/>
        <v>47380.8735315136</v>
      </c>
      <c r="O388" s="143">
        <f t="shared" si="97"/>
        <v>657.54399999999998</v>
      </c>
      <c r="P388" s="143">
        <f t="shared" si="97"/>
        <v>22345.143800792608</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966</v>
      </c>
      <c r="G392" s="46"/>
      <c r="I392" t="s">
        <v>154</v>
      </c>
      <c r="AQ392" s="3"/>
    </row>
    <row r="393" spans="3:43" x14ac:dyDescent="0.25">
      <c r="E393" s="60"/>
      <c r="F393" s="111" t="s">
        <v>247</v>
      </c>
      <c r="G393" s="111" t="s">
        <v>207</v>
      </c>
      <c r="H393" s="90"/>
      <c r="I393" s="90"/>
      <c r="J393" s="112"/>
      <c r="K393" s="112"/>
      <c r="L393" s="169">
        <f t="shared" ref="L393:L399" si="98">(1 - L315) * L123</f>
        <v>143.29679495067307</v>
      </c>
      <c r="M393" s="112"/>
      <c r="N393" s="169">
        <f t="shared" ref="N393:P399" si="99">(1 - N315) * N123</f>
        <v>315.82767672133139</v>
      </c>
      <c r="O393" s="169">
        <f t="shared" si="99"/>
        <v>0</v>
      </c>
      <c r="P393" s="169">
        <f t="shared" si="99"/>
        <v>0</v>
      </c>
      <c r="Q393" s="112"/>
      <c r="R393" s="112"/>
      <c r="S393" s="112"/>
      <c r="T393" s="112"/>
      <c r="U393" s="112"/>
      <c r="V393" s="112"/>
      <c r="W393" s="112"/>
      <c r="X393" s="112"/>
      <c r="Y393" s="112"/>
      <c r="AQ393" s="3"/>
    </row>
    <row r="394" spans="3:43" x14ac:dyDescent="0.25">
      <c r="E394" s="60"/>
      <c r="F394" s="113" t="s">
        <v>248</v>
      </c>
      <c r="G394" s="113" t="s">
        <v>207</v>
      </c>
      <c r="J394" s="121"/>
      <c r="K394" s="121"/>
      <c r="L394" s="191">
        <f t="shared" si="98"/>
        <v>742.06827288447096</v>
      </c>
      <c r="M394" s="121"/>
      <c r="N394" s="191">
        <f t="shared" si="99"/>
        <v>1461.8610120667095</v>
      </c>
      <c r="O394" s="191">
        <f t="shared" si="99"/>
        <v>0</v>
      </c>
      <c r="P394" s="191">
        <f t="shared" si="99"/>
        <v>0</v>
      </c>
      <c r="Q394" s="121"/>
      <c r="R394" s="121"/>
      <c r="S394" s="121"/>
      <c r="T394" s="121"/>
      <c r="U394" s="121"/>
      <c r="V394" s="121"/>
      <c r="W394" s="121"/>
      <c r="X394" s="121"/>
      <c r="Y394" s="121"/>
      <c r="AQ394" s="3"/>
    </row>
    <row r="395" spans="3:43" x14ac:dyDescent="0.25">
      <c r="E395" s="60"/>
      <c r="F395" s="113" t="s">
        <v>249</v>
      </c>
      <c r="G395" s="113" t="s">
        <v>207</v>
      </c>
      <c r="J395" s="121"/>
      <c r="K395" s="121"/>
      <c r="L395" s="191">
        <f t="shared" si="98"/>
        <v>581.0397828727032</v>
      </c>
      <c r="M395" s="121"/>
      <c r="N395" s="191">
        <f t="shared" si="99"/>
        <v>1179.5905844249994</v>
      </c>
      <c r="O395" s="191">
        <f t="shared" si="99"/>
        <v>0</v>
      </c>
      <c r="P395" s="191">
        <f t="shared" si="99"/>
        <v>0</v>
      </c>
      <c r="Q395" s="121"/>
      <c r="R395" s="121"/>
      <c r="S395" s="121"/>
      <c r="T395" s="121"/>
      <c r="U395" s="121"/>
      <c r="V395" s="121"/>
      <c r="W395" s="121"/>
      <c r="X395" s="121"/>
      <c r="Y395" s="121"/>
      <c r="AQ395" s="3"/>
    </row>
    <row r="396" spans="3:43" x14ac:dyDescent="0.25">
      <c r="E396" s="60"/>
      <c r="F396" s="113" t="s">
        <v>212</v>
      </c>
      <c r="G396" s="113" t="s">
        <v>212</v>
      </c>
      <c r="J396" s="121"/>
      <c r="K396" s="121"/>
      <c r="L396" s="191">
        <f t="shared" si="98"/>
        <v>220.67274818714475</v>
      </c>
      <c r="M396" s="121"/>
      <c r="N396" s="191">
        <f t="shared" si="99"/>
        <v>28.183747730423377</v>
      </c>
      <c r="O396" s="191">
        <f t="shared" si="99"/>
        <v>0</v>
      </c>
      <c r="P396" s="191">
        <f t="shared" si="99"/>
        <v>0</v>
      </c>
      <c r="Q396" s="121"/>
      <c r="R396" s="121"/>
      <c r="S396" s="121"/>
      <c r="T396" s="121"/>
      <c r="U396" s="121"/>
      <c r="V396" s="121"/>
      <c r="W396" s="121"/>
      <c r="X396" s="121"/>
      <c r="Y396" s="121"/>
      <c r="AQ396" s="3"/>
    </row>
    <row r="397" spans="3:43" x14ac:dyDescent="0.25">
      <c r="E397" s="60"/>
      <c r="F397" s="113" t="s">
        <v>250</v>
      </c>
      <c r="G397" s="113" t="s">
        <v>251</v>
      </c>
      <c r="J397" s="121"/>
      <c r="K397" s="121"/>
      <c r="L397" s="191">
        <f t="shared" si="98"/>
        <v>0</v>
      </c>
      <c r="M397" s="121"/>
      <c r="N397" s="191">
        <f t="shared" si="99"/>
        <v>3030.052708124028</v>
      </c>
      <c r="O397" s="191">
        <f t="shared" si="99"/>
        <v>0</v>
      </c>
      <c r="P397" s="191">
        <f t="shared" si="99"/>
        <v>0</v>
      </c>
      <c r="Q397" s="121"/>
      <c r="R397" s="121"/>
      <c r="S397" s="121"/>
      <c r="T397" s="121"/>
      <c r="U397" s="121"/>
      <c r="V397" s="121"/>
      <c r="W397" s="121"/>
      <c r="X397" s="121"/>
      <c r="Y397" s="121"/>
      <c r="AQ397" s="3"/>
    </row>
    <row r="398" spans="3:43" x14ac:dyDescent="0.25">
      <c r="E398" s="60"/>
      <c r="F398" s="113" t="s">
        <v>252</v>
      </c>
      <c r="G398" s="113" t="s">
        <v>251</v>
      </c>
      <c r="J398" s="121"/>
      <c r="K398" s="121"/>
      <c r="L398" s="191">
        <f t="shared" si="98"/>
        <v>0</v>
      </c>
      <c r="M398" s="121"/>
      <c r="N398" s="191">
        <f t="shared" si="99"/>
        <v>0</v>
      </c>
      <c r="O398" s="191">
        <f t="shared" si="99"/>
        <v>0</v>
      </c>
      <c r="P398" s="191">
        <f t="shared" si="99"/>
        <v>0</v>
      </c>
      <c r="Q398" s="121"/>
      <c r="R398" s="121"/>
      <c r="S398" s="121"/>
      <c r="T398" s="121"/>
      <c r="U398" s="121"/>
      <c r="V398" s="121"/>
      <c r="W398" s="121"/>
      <c r="X398" s="121"/>
      <c r="Y398" s="121"/>
      <c r="AQ398" s="3"/>
    </row>
    <row r="399" spans="3:43" x14ac:dyDescent="0.25">
      <c r="E399" s="60"/>
      <c r="F399" s="115" t="s">
        <v>253</v>
      </c>
      <c r="G399" s="115" t="s">
        <v>254</v>
      </c>
      <c r="H399" s="91"/>
      <c r="I399" s="91"/>
      <c r="J399" s="116"/>
      <c r="K399" s="116"/>
      <c r="L399" s="143">
        <f t="shared" si="98"/>
        <v>0</v>
      </c>
      <c r="M399" s="116"/>
      <c r="N399" s="143">
        <f t="shared" si="99"/>
        <v>366.07090376577787</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967</v>
      </c>
      <c r="G401" s="46"/>
      <c r="I401" t="s">
        <v>154</v>
      </c>
      <c r="AQ401" s="3"/>
    </row>
    <row r="402" spans="5:43" x14ac:dyDescent="0.25">
      <c r="E402" s="60"/>
      <c r="F402" s="111" t="s">
        <v>247</v>
      </c>
      <c r="G402" s="111" t="s">
        <v>207</v>
      </c>
      <c r="H402" s="90"/>
      <c r="I402" s="90"/>
      <c r="J402" s="112"/>
      <c r="K402" s="112"/>
      <c r="L402" s="169">
        <f t="shared" ref="L402:L408" si="100">(1 - L324) * L170</f>
        <v>149.13810625039309</v>
      </c>
      <c r="M402" s="112"/>
      <c r="N402" s="169">
        <f t="shared" ref="N402:P408" si="101">(1 - N324) * N170</f>
        <v>1044.286391589636</v>
      </c>
      <c r="O402" s="169">
        <f t="shared" si="101"/>
        <v>77.170010753169024</v>
      </c>
      <c r="P402" s="169">
        <f t="shared" si="101"/>
        <v>880.363728842098</v>
      </c>
      <c r="Q402" s="112"/>
      <c r="R402" s="112"/>
      <c r="S402" s="112"/>
      <c r="T402" s="112"/>
      <c r="U402" s="112"/>
      <c r="V402" s="112"/>
      <c r="W402" s="112"/>
      <c r="X402" s="112"/>
      <c r="Y402" s="112"/>
      <c r="AQ402" s="3"/>
    </row>
    <row r="403" spans="5:43" x14ac:dyDescent="0.25">
      <c r="E403" s="60"/>
      <c r="F403" s="113" t="s">
        <v>248</v>
      </c>
      <c r="G403" s="113" t="s">
        <v>207</v>
      </c>
      <c r="J403" s="121"/>
      <c r="K403" s="121"/>
      <c r="L403" s="191">
        <f t="shared" si="100"/>
        <v>772.44240230285175</v>
      </c>
      <c r="M403" s="121"/>
      <c r="N403" s="191">
        <f t="shared" si="101"/>
        <v>4431.006585971083</v>
      </c>
      <c r="O403" s="191">
        <f t="shared" si="101"/>
        <v>320.48111545240653</v>
      </c>
      <c r="P403" s="191">
        <f t="shared" si="101"/>
        <v>3806.8318962212415</v>
      </c>
      <c r="Q403" s="121"/>
      <c r="R403" s="121"/>
      <c r="S403" s="121"/>
      <c r="T403" s="121"/>
      <c r="U403" s="121"/>
      <c r="V403" s="121"/>
      <c r="W403" s="121"/>
      <c r="X403" s="121"/>
      <c r="Y403" s="121"/>
      <c r="AQ403" s="3"/>
    </row>
    <row r="404" spans="5:43" x14ac:dyDescent="0.25">
      <c r="E404" s="60"/>
      <c r="F404" s="113" t="s">
        <v>249</v>
      </c>
      <c r="G404" s="113" t="s">
        <v>207</v>
      </c>
      <c r="J404" s="121"/>
      <c r="K404" s="121"/>
      <c r="L404" s="191">
        <f t="shared" si="100"/>
        <v>607.81964274054326</v>
      </c>
      <c r="M404" s="121"/>
      <c r="N404" s="191">
        <f t="shared" si="101"/>
        <v>3736.2751821564771</v>
      </c>
      <c r="O404" s="191">
        <f t="shared" si="101"/>
        <v>333.37814812879589</v>
      </c>
      <c r="P404" s="191">
        <f t="shared" si="101"/>
        <v>4160.6952817838228</v>
      </c>
      <c r="Q404" s="121"/>
      <c r="R404" s="121"/>
      <c r="S404" s="121"/>
      <c r="T404" s="121"/>
      <c r="U404" s="121"/>
      <c r="V404" s="121"/>
      <c r="W404" s="121"/>
      <c r="X404" s="121"/>
      <c r="Y404" s="121"/>
      <c r="AQ404" s="3"/>
    </row>
    <row r="405" spans="5:43" x14ac:dyDescent="0.25">
      <c r="E405" s="60"/>
      <c r="F405" s="113" t="s">
        <v>212</v>
      </c>
      <c r="G405" s="113" t="s">
        <v>212</v>
      </c>
      <c r="J405" s="121"/>
      <c r="K405" s="121"/>
      <c r="L405" s="191">
        <f t="shared" si="100"/>
        <v>211.27291106284346</v>
      </c>
      <c r="M405" s="121"/>
      <c r="N405" s="191">
        <f t="shared" si="101"/>
        <v>62.115818421098169</v>
      </c>
      <c r="O405" s="191">
        <f t="shared" si="101"/>
        <v>1.9830402352092771</v>
      </c>
      <c r="P405" s="191">
        <f t="shared" si="101"/>
        <v>4.5567480788928476</v>
      </c>
      <c r="Q405" s="121"/>
      <c r="R405" s="121"/>
      <c r="S405" s="121"/>
      <c r="T405" s="121"/>
      <c r="U405" s="121"/>
      <c r="V405" s="121"/>
      <c r="W405" s="121"/>
      <c r="X405" s="121"/>
      <c r="Y405" s="121"/>
      <c r="AQ405" s="3"/>
    </row>
    <row r="406" spans="5:43" x14ac:dyDescent="0.25">
      <c r="E406" s="60"/>
      <c r="F406" s="113" t="s">
        <v>250</v>
      </c>
      <c r="G406" s="113" t="s">
        <v>251</v>
      </c>
      <c r="J406" s="121"/>
      <c r="K406" s="121"/>
      <c r="L406" s="191">
        <f t="shared" si="100"/>
        <v>0</v>
      </c>
      <c r="M406" s="121"/>
      <c r="N406" s="191">
        <f t="shared" si="101"/>
        <v>7194.7525986475812</v>
      </c>
      <c r="O406" s="191">
        <f t="shared" si="101"/>
        <v>216.15138563781119</v>
      </c>
      <c r="P406" s="191">
        <f t="shared" si="101"/>
        <v>2806.197358584845</v>
      </c>
      <c r="Q406" s="121"/>
      <c r="R406" s="121"/>
      <c r="S406" s="121"/>
      <c r="T406" s="121"/>
      <c r="U406" s="121"/>
      <c r="V406" s="121"/>
      <c r="W406" s="121"/>
      <c r="X406" s="121"/>
      <c r="Y406" s="121"/>
      <c r="AQ406" s="3"/>
    </row>
    <row r="407" spans="5:43" x14ac:dyDescent="0.25">
      <c r="E407" s="60"/>
      <c r="F407" s="113" t="s">
        <v>252</v>
      </c>
      <c r="G407" s="113" t="s">
        <v>251</v>
      </c>
      <c r="J407" s="121"/>
      <c r="K407" s="121"/>
      <c r="L407" s="191">
        <f t="shared" si="100"/>
        <v>0</v>
      </c>
      <c r="M407" s="121"/>
      <c r="N407" s="191">
        <f t="shared" si="101"/>
        <v>3.1651372443871679</v>
      </c>
      <c r="O407" s="191">
        <f t="shared" si="101"/>
        <v>0</v>
      </c>
      <c r="P407" s="191">
        <f t="shared" si="101"/>
        <v>183.0293811688627</v>
      </c>
      <c r="Q407" s="121"/>
      <c r="R407" s="121"/>
      <c r="S407" s="121"/>
      <c r="T407" s="121"/>
      <c r="U407" s="121"/>
      <c r="V407" s="121"/>
      <c r="W407" s="121"/>
      <c r="X407" s="121"/>
      <c r="Y407" s="121"/>
      <c r="AQ407" s="3"/>
    </row>
    <row r="408" spans="5:43" x14ac:dyDescent="0.25">
      <c r="E408" s="60"/>
      <c r="F408" s="115" t="s">
        <v>253</v>
      </c>
      <c r="G408" s="115" t="s">
        <v>254</v>
      </c>
      <c r="H408" s="91"/>
      <c r="I408" s="91"/>
      <c r="J408" s="116"/>
      <c r="K408" s="116"/>
      <c r="L408" s="143">
        <f t="shared" si="100"/>
        <v>0</v>
      </c>
      <c r="M408" s="116"/>
      <c r="N408" s="143">
        <f t="shared" si="101"/>
        <v>409.86549104036084</v>
      </c>
      <c r="O408" s="143">
        <f t="shared" si="101"/>
        <v>13.42253833871986</v>
      </c>
      <c r="P408" s="143">
        <f t="shared" si="101"/>
        <v>0.14733485455086873</v>
      </c>
      <c r="Q408" s="116"/>
      <c r="R408" s="116"/>
      <c r="S408" s="116"/>
      <c r="T408" s="116"/>
      <c r="U408" s="116"/>
      <c r="V408" s="116"/>
      <c r="W408" s="116"/>
      <c r="X408" s="116"/>
      <c r="Y408" s="116"/>
      <c r="AQ408" s="3"/>
    </row>
    <row r="409" spans="5:43" x14ac:dyDescent="0.25">
      <c r="AQ409" s="3"/>
    </row>
    <row r="410" spans="5:43" x14ac:dyDescent="0.25">
      <c r="E410" s="60" t="s">
        <v>968</v>
      </c>
      <c r="G410" s="46"/>
      <c r="I410" t="s">
        <v>154</v>
      </c>
      <c r="AQ410" s="3"/>
    </row>
    <row r="411" spans="5:43" x14ac:dyDescent="0.25">
      <c r="E411" s="60"/>
      <c r="F411" s="111" t="s">
        <v>247</v>
      </c>
      <c r="G411" s="111" t="s">
        <v>207</v>
      </c>
      <c r="H411" s="90"/>
      <c r="I411" s="90"/>
      <c r="J411" s="112"/>
      <c r="K411" s="112"/>
      <c r="L411" s="169">
        <f t="shared" ref="L411:L417" si="102">L76+L393+L402</f>
        <v>29394.411425546401</v>
      </c>
      <c r="M411" s="112"/>
      <c r="N411" s="169">
        <f t="shared" ref="N411:P417" si="103">N76+N393+N402</f>
        <v>71575.05506552312</v>
      </c>
      <c r="O411" s="169">
        <f t="shared" si="103"/>
        <v>718.10329408904522</v>
      </c>
      <c r="P411" s="169">
        <f t="shared" si="103"/>
        <v>63497.151434167426</v>
      </c>
      <c r="Q411" s="112"/>
      <c r="R411" s="112"/>
      <c r="S411" s="112"/>
      <c r="T411" s="112"/>
      <c r="U411" s="112"/>
      <c r="V411" s="112"/>
      <c r="W411" s="112"/>
      <c r="X411" s="112"/>
      <c r="Y411" s="112"/>
      <c r="AQ411" s="3"/>
    </row>
    <row r="412" spans="5:43" x14ac:dyDescent="0.25">
      <c r="E412" s="60"/>
      <c r="F412" s="113" t="s">
        <v>248</v>
      </c>
      <c r="G412" s="113" t="s">
        <v>207</v>
      </c>
      <c r="J412" s="121"/>
      <c r="K412" s="121"/>
      <c r="L412" s="191">
        <f t="shared" si="102"/>
        <v>152500.32564653366</v>
      </c>
      <c r="M412" s="121"/>
      <c r="N412" s="191">
        <f t="shared" si="103"/>
        <v>332142.60060530039</v>
      </c>
      <c r="O412" s="191">
        <f t="shared" si="103"/>
        <v>3051.1962128352056</v>
      </c>
      <c r="P412" s="191">
        <f t="shared" si="103"/>
        <v>303147.54777344479</v>
      </c>
      <c r="Q412" s="121"/>
      <c r="R412" s="121"/>
      <c r="S412" s="121"/>
      <c r="T412" s="121"/>
      <c r="U412" s="121"/>
      <c r="V412" s="121"/>
      <c r="W412" s="121"/>
      <c r="X412" s="121"/>
      <c r="Y412" s="121"/>
      <c r="AQ412" s="3"/>
    </row>
    <row r="413" spans="5:43" x14ac:dyDescent="0.25">
      <c r="E413" s="60"/>
      <c r="F413" s="113" t="s">
        <v>249</v>
      </c>
      <c r="G413" s="113" t="s">
        <v>207</v>
      </c>
      <c r="J413" s="121"/>
      <c r="K413" s="121"/>
      <c r="L413" s="191">
        <f t="shared" si="102"/>
        <v>126055.92820700265</v>
      </c>
      <c r="M413" s="121"/>
      <c r="N413" s="191">
        <f t="shared" si="103"/>
        <v>291472.15441685508</v>
      </c>
      <c r="O413" s="191">
        <f t="shared" si="103"/>
        <v>3129.4013494973974</v>
      </c>
      <c r="P413" s="191">
        <f t="shared" si="103"/>
        <v>303422.32300352567</v>
      </c>
      <c r="Q413" s="121"/>
      <c r="R413" s="121"/>
      <c r="S413" s="121"/>
      <c r="T413" s="121"/>
      <c r="U413" s="121"/>
      <c r="V413" s="121"/>
      <c r="W413" s="121"/>
      <c r="X413" s="121"/>
      <c r="Y413" s="121"/>
      <c r="AQ413" s="3"/>
    </row>
    <row r="414" spans="5:43" x14ac:dyDescent="0.25">
      <c r="E414" s="60"/>
      <c r="F414" s="113" t="s">
        <v>212</v>
      </c>
      <c r="G414" s="113" t="s">
        <v>212</v>
      </c>
      <c r="J414" s="121"/>
      <c r="K414" s="121"/>
      <c r="L414" s="191">
        <f t="shared" si="102"/>
        <v>37543.945659249985</v>
      </c>
      <c r="M414" s="121"/>
      <c r="N414" s="191">
        <f t="shared" si="103"/>
        <v>3900.2995661515215</v>
      </c>
      <c r="O414" s="191">
        <f t="shared" si="103"/>
        <v>24.983040235209277</v>
      </c>
      <c r="P414" s="191">
        <f t="shared" si="103"/>
        <v>405.55674807889284</v>
      </c>
      <c r="Q414" s="121"/>
      <c r="R414" s="121"/>
      <c r="S414" s="121"/>
      <c r="T414" s="121"/>
      <c r="U414" s="121"/>
      <c r="V414" s="121"/>
      <c r="W414" s="121"/>
      <c r="X414" s="121"/>
      <c r="Y414" s="121"/>
      <c r="AQ414" s="3"/>
    </row>
    <row r="415" spans="5:43" x14ac:dyDescent="0.25">
      <c r="E415" s="60"/>
      <c r="F415" s="113" t="s">
        <v>250</v>
      </c>
      <c r="G415" s="113" t="s">
        <v>251</v>
      </c>
      <c r="J415" s="121"/>
      <c r="K415" s="121"/>
      <c r="L415" s="191">
        <f t="shared" si="102"/>
        <v>0</v>
      </c>
      <c r="M415" s="121"/>
      <c r="N415" s="191">
        <f t="shared" si="103"/>
        <v>437282.80530677165</v>
      </c>
      <c r="O415" s="191">
        <f t="shared" si="103"/>
        <v>2836.151385637811</v>
      </c>
      <c r="P415" s="191">
        <f t="shared" si="103"/>
        <v>281768.19735858485</v>
      </c>
      <c r="Q415" s="121"/>
      <c r="R415" s="121"/>
      <c r="S415" s="121"/>
      <c r="T415" s="121"/>
      <c r="U415" s="121"/>
      <c r="V415" s="121"/>
      <c r="W415" s="121"/>
      <c r="X415" s="121"/>
      <c r="Y415" s="121"/>
      <c r="AQ415" s="3"/>
    </row>
    <row r="416" spans="5:43" x14ac:dyDescent="0.25">
      <c r="E416" s="60"/>
      <c r="F416" s="113" t="s">
        <v>252</v>
      </c>
      <c r="G416" s="113" t="s">
        <v>251</v>
      </c>
      <c r="J416" s="121"/>
      <c r="K416" s="121"/>
      <c r="L416" s="191">
        <f t="shared" si="102"/>
        <v>0</v>
      </c>
      <c r="M416" s="121"/>
      <c r="N416" s="191">
        <f t="shared" si="103"/>
        <v>6639.4151372443876</v>
      </c>
      <c r="O416" s="191">
        <f t="shared" si="103"/>
        <v>240.66666666666666</v>
      </c>
      <c r="P416" s="191">
        <f t="shared" si="103"/>
        <v>1959.1127145021962</v>
      </c>
      <c r="Q416" s="121"/>
      <c r="R416" s="121"/>
      <c r="S416" s="121"/>
      <c r="T416" s="121"/>
      <c r="U416" s="121"/>
      <c r="V416" s="121"/>
      <c r="W416" s="121"/>
      <c r="X416" s="121"/>
      <c r="Y416" s="121"/>
      <c r="AQ416" s="3"/>
    </row>
    <row r="417" spans="3:43" x14ac:dyDescent="0.25">
      <c r="E417" s="60"/>
      <c r="F417" s="115" t="s">
        <v>253</v>
      </c>
      <c r="G417" s="115" t="s">
        <v>254</v>
      </c>
      <c r="H417" s="91"/>
      <c r="I417" s="91"/>
      <c r="J417" s="116"/>
      <c r="K417" s="116"/>
      <c r="L417" s="143">
        <f t="shared" si="102"/>
        <v>0</v>
      </c>
      <c r="M417" s="116"/>
      <c r="N417" s="143">
        <f t="shared" si="103"/>
        <v>58287.982394806146</v>
      </c>
      <c r="O417" s="143">
        <f t="shared" si="103"/>
        <v>566.36953833871985</v>
      </c>
      <c r="P417" s="143">
        <f t="shared" si="103"/>
        <v>33920.826334854544</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963</v>
      </c>
      <c r="G421" s="46"/>
      <c r="I421" t="s">
        <v>154</v>
      </c>
      <c r="AQ421" s="3"/>
    </row>
    <row r="422" spans="3:43" x14ac:dyDescent="0.25">
      <c r="E422" s="60"/>
      <c r="F422" s="111" t="s">
        <v>247</v>
      </c>
      <c r="G422" s="111" t="s">
        <v>207</v>
      </c>
      <c r="H422" s="90"/>
      <c r="I422" s="90"/>
      <c r="J422" s="112"/>
      <c r="K422" s="112"/>
      <c r="L422" s="169">
        <f t="shared" ref="L422:L428" si="104">(1 - L315) * L132</f>
        <v>94.953834144364578</v>
      </c>
      <c r="M422" s="112"/>
      <c r="N422" s="169">
        <f t="shared" ref="N422:P428" si="105">(1 - N315) * N132</f>
        <v>656.57458367001334</v>
      </c>
      <c r="O422" s="169">
        <f t="shared" si="105"/>
        <v>0</v>
      </c>
      <c r="P422" s="169">
        <f t="shared" si="105"/>
        <v>0</v>
      </c>
      <c r="Q422" s="112"/>
      <c r="R422" s="112"/>
      <c r="S422" s="112"/>
      <c r="T422" s="112"/>
      <c r="U422" s="112"/>
      <c r="V422" s="112"/>
      <c r="W422" s="112"/>
      <c r="X422" s="112"/>
      <c r="Y422" s="112"/>
      <c r="AQ422" s="3"/>
    </row>
    <row r="423" spans="3:43" x14ac:dyDescent="0.25">
      <c r="E423" s="60"/>
      <c r="F423" s="113" t="s">
        <v>248</v>
      </c>
      <c r="G423" s="113" t="s">
        <v>207</v>
      </c>
      <c r="J423" s="121"/>
      <c r="K423" s="121"/>
      <c r="L423" s="191">
        <f t="shared" si="104"/>
        <v>494.60966547296567</v>
      </c>
      <c r="M423" s="121"/>
      <c r="N423" s="191">
        <f t="shared" si="105"/>
        <v>2870.9710431951712</v>
      </c>
      <c r="O423" s="191">
        <f t="shared" si="105"/>
        <v>0</v>
      </c>
      <c r="P423" s="191">
        <f t="shared" si="105"/>
        <v>0</v>
      </c>
      <c r="Q423" s="121"/>
      <c r="R423" s="121"/>
      <c r="S423" s="121"/>
      <c r="T423" s="121"/>
      <c r="U423" s="121"/>
      <c r="V423" s="121"/>
      <c r="W423" s="121"/>
      <c r="X423" s="121"/>
      <c r="Y423" s="121"/>
      <c r="AQ423" s="3"/>
    </row>
    <row r="424" spans="3:43" x14ac:dyDescent="0.25">
      <c r="E424" s="60"/>
      <c r="F424" s="113" t="s">
        <v>249</v>
      </c>
      <c r="G424" s="113" t="s">
        <v>207</v>
      </c>
      <c r="J424" s="121"/>
      <c r="K424" s="121"/>
      <c r="L424" s="191">
        <f t="shared" si="104"/>
        <v>391.51521225549681</v>
      </c>
      <c r="M424" s="121"/>
      <c r="N424" s="191">
        <f t="shared" si="105"/>
        <v>2722.4318988801128</v>
      </c>
      <c r="O424" s="191">
        <f t="shared" si="105"/>
        <v>0</v>
      </c>
      <c r="P424" s="191">
        <f t="shared" si="105"/>
        <v>0</v>
      </c>
      <c r="Q424" s="121"/>
      <c r="R424" s="121"/>
      <c r="S424" s="121"/>
      <c r="T424" s="121"/>
      <c r="U424" s="121"/>
      <c r="V424" s="121"/>
      <c r="W424" s="121"/>
      <c r="X424" s="121"/>
      <c r="Y424" s="121"/>
      <c r="AQ424" s="3"/>
    </row>
    <row r="425" spans="3:43" x14ac:dyDescent="0.25">
      <c r="E425" s="60"/>
      <c r="F425" s="113" t="s">
        <v>212</v>
      </c>
      <c r="G425" s="113" t="s">
        <v>212</v>
      </c>
      <c r="J425" s="121"/>
      <c r="K425" s="121"/>
      <c r="L425" s="191">
        <f t="shared" si="104"/>
        <v>99.542598367027239</v>
      </c>
      <c r="M425" s="121"/>
      <c r="N425" s="191">
        <f t="shared" si="105"/>
        <v>26.384785109332523</v>
      </c>
      <c r="O425" s="191">
        <f t="shared" si="105"/>
        <v>0</v>
      </c>
      <c r="P425" s="191">
        <f t="shared" si="105"/>
        <v>0</v>
      </c>
      <c r="Q425" s="121"/>
      <c r="R425" s="121"/>
      <c r="S425" s="121"/>
      <c r="T425" s="121"/>
      <c r="U425" s="121"/>
      <c r="V425" s="121"/>
      <c r="W425" s="121"/>
      <c r="X425" s="121"/>
      <c r="Y425" s="121"/>
      <c r="AQ425" s="3"/>
    </row>
    <row r="426" spans="3:43" x14ac:dyDescent="0.25">
      <c r="E426" s="60"/>
      <c r="F426" s="113" t="s">
        <v>250</v>
      </c>
      <c r="G426" s="113" t="s">
        <v>251</v>
      </c>
      <c r="J426" s="121"/>
      <c r="K426" s="121"/>
      <c r="L426" s="191">
        <f t="shared" si="104"/>
        <v>0</v>
      </c>
      <c r="M426" s="121"/>
      <c r="N426" s="191">
        <f t="shared" si="105"/>
        <v>4878.1869741913652</v>
      </c>
      <c r="O426" s="191">
        <f t="shared" si="105"/>
        <v>0</v>
      </c>
      <c r="P426" s="191">
        <f t="shared" si="105"/>
        <v>0</v>
      </c>
      <c r="Q426" s="121"/>
      <c r="R426" s="121"/>
      <c r="S426" s="121"/>
      <c r="T426" s="121"/>
      <c r="U426" s="121"/>
      <c r="V426" s="121"/>
      <c r="W426" s="121"/>
      <c r="X426" s="121"/>
      <c r="Y426" s="121"/>
      <c r="AQ426" s="3"/>
    </row>
    <row r="427" spans="3:43" x14ac:dyDescent="0.25">
      <c r="E427" s="60"/>
      <c r="F427" s="113" t="s">
        <v>252</v>
      </c>
      <c r="G427" s="113" t="s">
        <v>251</v>
      </c>
      <c r="J427" s="121"/>
      <c r="K427" s="121"/>
      <c r="L427" s="191">
        <f t="shared" si="104"/>
        <v>0</v>
      </c>
      <c r="M427" s="121"/>
      <c r="N427" s="191">
        <f t="shared" si="105"/>
        <v>0</v>
      </c>
      <c r="O427" s="191">
        <f t="shared" si="105"/>
        <v>0</v>
      </c>
      <c r="P427" s="191">
        <f t="shared" si="105"/>
        <v>0</v>
      </c>
      <c r="Q427" s="121"/>
      <c r="R427" s="121"/>
      <c r="S427" s="121"/>
      <c r="T427" s="121"/>
      <c r="U427" s="121"/>
      <c r="V427" s="121"/>
      <c r="W427" s="121"/>
      <c r="X427" s="121"/>
      <c r="Y427" s="121"/>
      <c r="AQ427" s="3"/>
    </row>
    <row r="428" spans="3:43" x14ac:dyDescent="0.25">
      <c r="E428" s="60"/>
      <c r="F428" s="115" t="s">
        <v>253</v>
      </c>
      <c r="G428" s="115" t="s">
        <v>254</v>
      </c>
      <c r="H428" s="91"/>
      <c r="I428" s="91"/>
      <c r="J428" s="116"/>
      <c r="K428" s="116"/>
      <c r="L428" s="143">
        <f t="shared" si="104"/>
        <v>0</v>
      </c>
      <c r="M428" s="116"/>
      <c r="N428" s="143">
        <f t="shared" si="105"/>
        <v>356.06147574202834</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964</v>
      </c>
      <c r="G430" s="46"/>
      <c r="I430" t="s">
        <v>154</v>
      </c>
      <c r="AQ430" s="3"/>
    </row>
    <row r="431" spans="3:43" x14ac:dyDescent="0.25">
      <c r="E431" s="60"/>
      <c r="F431" s="111" t="s">
        <v>247</v>
      </c>
      <c r="G431" s="111" t="s">
        <v>207</v>
      </c>
      <c r="H431" s="90"/>
      <c r="I431" s="90"/>
      <c r="J431" s="112"/>
      <c r="K431" s="112"/>
      <c r="L431" s="169">
        <f t="shared" ref="L431:L437" si="106">(1 - L324) * L179</f>
        <v>218.19382807551403</v>
      </c>
      <c r="M431" s="112"/>
      <c r="N431" s="169">
        <f t="shared" ref="N431:P437" si="107">(1 - N324) * N179</f>
        <v>1352.3128005075287</v>
      </c>
      <c r="O431" s="169">
        <f t="shared" si="107"/>
        <v>32.476249932022334</v>
      </c>
      <c r="P431" s="169">
        <f t="shared" si="107"/>
        <v>1160.2391958476969</v>
      </c>
      <c r="Q431" s="112"/>
      <c r="R431" s="112"/>
      <c r="S431" s="112"/>
      <c r="T431" s="112"/>
      <c r="U431" s="112"/>
      <c r="V431" s="112"/>
      <c r="W431" s="112"/>
      <c r="X431" s="112"/>
      <c r="Y431" s="112"/>
      <c r="AQ431" s="3"/>
    </row>
    <row r="432" spans="3:43" x14ac:dyDescent="0.25">
      <c r="E432" s="60"/>
      <c r="F432" s="113" t="s">
        <v>248</v>
      </c>
      <c r="G432" s="113" t="s">
        <v>207</v>
      </c>
      <c r="J432" s="121"/>
      <c r="K432" s="121"/>
      <c r="L432" s="191">
        <f t="shared" si="106"/>
        <v>1126.7396190939048</v>
      </c>
      <c r="M432" s="121"/>
      <c r="N432" s="191">
        <f t="shared" si="107"/>
        <v>5838.1712149238401</v>
      </c>
      <c r="O432" s="191">
        <f t="shared" si="107"/>
        <v>145.28083269849031</v>
      </c>
      <c r="P432" s="191">
        <f t="shared" si="107"/>
        <v>5154.1073737151737</v>
      </c>
      <c r="Q432" s="121"/>
      <c r="R432" s="121"/>
      <c r="S432" s="121"/>
      <c r="T432" s="121"/>
      <c r="U432" s="121"/>
      <c r="V432" s="121"/>
      <c r="W432" s="121"/>
      <c r="X432" s="121"/>
      <c r="Y432" s="121"/>
      <c r="AQ432" s="3"/>
    </row>
    <row r="433" spans="3:43" x14ac:dyDescent="0.25">
      <c r="E433" s="60"/>
      <c r="F433" s="113" t="s">
        <v>249</v>
      </c>
      <c r="G433" s="113" t="s">
        <v>207</v>
      </c>
      <c r="J433" s="121"/>
      <c r="K433" s="121"/>
      <c r="L433" s="191">
        <f t="shared" si="106"/>
        <v>901.66630025215932</v>
      </c>
      <c r="M433" s="121"/>
      <c r="N433" s="191">
        <f t="shared" si="107"/>
        <v>5408.1184785387786</v>
      </c>
      <c r="O433" s="191">
        <f t="shared" si="107"/>
        <v>170.41652869317966</v>
      </c>
      <c r="P433" s="191">
        <f t="shared" si="107"/>
        <v>6343.3168549324446</v>
      </c>
      <c r="Q433" s="121"/>
      <c r="R433" s="121"/>
      <c r="S433" s="121"/>
      <c r="T433" s="121"/>
      <c r="U433" s="121"/>
      <c r="V433" s="121"/>
      <c r="W433" s="121"/>
      <c r="X433" s="121"/>
      <c r="Y433" s="121"/>
      <c r="AQ433" s="3"/>
    </row>
    <row r="434" spans="3:43" x14ac:dyDescent="0.25">
      <c r="E434" s="60"/>
      <c r="F434" s="113" t="s">
        <v>212</v>
      </c>
      <c r="G434" s="113" t="s">
        <v>212</v>
      </c>
      <c r="J434" s="121"/>
      <c r="K434" s="121"/>
      <c r="L434" s="191">
        <f t="shared" si="106"/>
        <v>145.99195539735811</v>
      </c>
      <c r="M434" s="121"/>
      <c r="N434" s="191">
        <f t="shared" si="107"/>
        <v>41.938068488129971</v>
      </c>
      <c r="O434" s="191">
        <f t="shared" si="107"/>
        <v>0.66101341173642569</v>
      </c>
      <c r="P434" s="191">
        <f t="shared" si="107"/>
        <v>5.3162060920416554</v>
      </c>
      <c r="Q434" s="121"/>
      <c r="R434" s="121"/>
      <c r="S434" s="121"/>
      <c r="T434" s="121"/>
      <c r="U434" s="121"/>
      <c r="V434" s="121"/>
      <c r="W434" s="121"/>
      <c r="X434" s="121"/>
      <c r="Y434" s="121"/>
      <c r="AQ434" s="3"/>
    </row>
    <row r="435" spans="3:43" x14ac:dyDescent="0.25">
      <c r="E435" s="60"/>
      <c r="F435" s="113" t="s">
        <v>250</v>
      </c>
      <c r="G435" s="113" t="s">
        <v>251</v>
      </c>
      <c r="J435" s="121"/>
      <c r="K435" s="121"/>
      <c r="L435" s="191">
        <f t="shared" si="106"/>
        <v>0</v>
      </c>
      <c r="M435" s="121"/>
      <c r="N435" s="191">
        <f t="shared" si="107"/>
        <v>7699.5919891273343</v>
      </c>
      <c r="O435" s="191">
        <f t="shared" si="107"/>
        <v>148.72801764069578</v>
      </c>
      <c r="P435" s="191">
        <f t="shared" si="107"/>
        <v>7290.796926228556</v>
      </c>
      <c r="Q435" s="121"/>
      <c r="R435" s="121"/>
      <c r="S435" s="121"/>
      <c r="T435" s="121"/>
      <c r="U435" s="121"/>
      <c r="V435" s="121"/>
      <c r="W435" s="121"/>
      <c r="X435" s="121"/>
      <c r="Y435" s="121"/>
      <c r="AQ435" s="3"/>
    </row>
    <row r="436" spans="3:43" x14ac:dyDescent="0.25">
      <c r="E436" s="60"/>
      <c r="F436" s="113" t="s">
        <v>252</v>
      </c>
      <c r="G436" s="113" t="s">
        <v>251</v>
      </c>
      <c r="J436" s="121"/>
      <c r="K436" s="121"/>
      <c r="L436" s="191">
        <f t="shared" si="106"/>
        <v>0</v>
      </c>
      <c r="M436" s="121"/>
      <c r="N436" s="191">
        <f t="shared" si="107"/>
        <v>3.2970179629033001</v>
      </c>
      <c r="O436" s="191">
        <f t="shared" si="107"/>
        <v>0</v>
      </c>
      <c r="P436" s="191">
        <f t="shared" si="107"/>
        <v>0</v>
      </c>
      <c r="Q436" s="121"/>
      <c r="R436" s="121"/>
      <c r="S436" s="121"/>
      <c r="T436" s="121"/>
      <c r="U436" s="121"/>
      <c r="V436" s="121"/>
      <c r="W436" s="121"/>
      <c r="X436" s="121"/>
      <c r="Y436" s="121"/>
      <c r="AQ436" s="3"/>
    </row>
    <row r="437" spans="3:43" x14ac:dyDescent="0.25">
      <c r="E437" s="60"/>
      <c r="F437" s="115" t="s">
        <v>253</v>
      </c>
      <c r="G437" s="115" t="s">
        <v>254</v>
      </c>
      <c r="H437" s="91"/>
      <c r="I437" s="91"/>
      <c r="J437" s="116"/>
      <c r="K437" s="116"/>
      <c r="L437" s="143">
        <f t="shared" si="106"/>
        <v>0</v>
      </c>
      <c r="M437" s="116"/>
      <c r="N437" s="143">
        <f t="shared" si="107"/>
        <v>390.17279839009495</v>
      </c>
      <c r="O437" s="143">
        <f t="shared" si="107"/>
        <v>6.8745394820588265E-2</v>
      </c>
      <c r="P437" s="143">
        <f t="shared" si="107"/>
        <v>492.27460845895212</v>
      </c>
      <c r="Q437" s="116"/>
      <c r="R437" s="116"/>
      <c r="S437" s="116"/>
      <c r="T437" s="116"/>
      <c r="U437" s="116"/>
      <c r="V437" s="116"/>
      <c r="W437" s="116"/>
      <c r="X437" s="116"/>
      <c r="Y437" s="116"/>
      <c r="AQ437" s="3"/>
    </row>
    <row r="438" spans="3:43" x14ac:dyDescent="0.25">
      <c r="AQ438" s="3"/>
    </row>
    <row r="439" spans="3:43" x14ac:dyDescent="0.25">
      <c r="E439" s="60" t="s">
        <v>965</v>
      </c>
      <c r="G439" s="46"/>
      <c r="I439" t="s">
        <v>154</v>
      </c>
      <c r="AQ439" s="3"/>
    </row>
    <row r="440" spans="3:43" x14ac:dyDescent="0.25">
      <c r="E440" s="60"/>
      <c r="F440" s="111" t="s">
        <v>247</v>
      </c>
      <c r="G440" s="111" t="s">
        <v>207</v>
      </c>
      <c r="H440" s="90"/>
      <c r="I440" s="90"/>
      <c r="J440" s="112"/>
      <c r="K440" s="112"/>
      <c r="L440" s="169">
        <f t="shared" ref="L440:L446" si="108">L85+L422+L431</f>
        <v>35993.169035651037</v>
      </c>
      <c r="M440" s="112"/>
      <c r="N440" s="169">
        <f t="shared" ref="N440:P446" si="109">N85+N422+N431</f>
        <v>39769.61413837006</v>
      </c>
      <c r="O440" s="169">
        <f t="shared" si="109"/>
        <v>2003.940664475771</v>
      </c>
      <c r="P440" s="169">
        <f t="shared" si="109"/>
        <v>56507.743226801183</v>
      </c>
      <c r="Q440" s="112"/>
      <c r="R440" s="112"/>
      <c r="S440" s="112"/>
      <c r="T440" s="112"/>
      <c r="U440" s="112"/>
      <c r="V440" s="112"/>
      <c r="W440" s="112"/>
      <c r="X440" s="112"/>
      <c r="Y440" s="112"/>
      <c r="AQ440" s="3"/>
    </row>
    <row r="441" spans="3:43" x14ac:dyDescent="0.25">
      <c r="E441" s="60"/>
      <c r="F441" s="113" t="s">
        <v>248</v>
      </c>
      <c r="G441" s="113" t="s">
        <v>207</v>
      </c>
      <c r="J441" s="121"/>
      <c r="K441" s="121"/>
      <c r="L441" s="191">
        <f t="shared" si="108"/>
        <v>186735.13702870524</v>
      </c>
      <c r="M441" s="121"/>
      <c r="N441" s="191">
        <f t="shared" si="109"/>
        <v>192056.05825753493</v>
      </c>
      <c r="O441" s="191">
        <f t="shared" si="109"/>
        <v>9269.8260636899286</v>
      </c>
      <c r="P441" s="191">
        <f t="shared" si="109"/>
        <v>263630.76479248831</v>
      </c>
      <c r="Q441" s="121"/>
      <c r="R441" s="121"/>
      <c r="S441" s="121"/>
      <c r="T441" s="121"/>
      <c r="U441" s="121"/>
      <c r="V441" s="121"/>
      <c r="W441" s="121"/>
      <c r="X441" s="121"/>
      <c r="Y441" s="121"/>
      <c r="AQ441" s="3"/>
    </row>
    <row r="442" spans="3:43" x14ac:dyDescent="0.25">
      <c r="E442" s="60"/>
      <c r="F442" s="113" t="s">
        <v>249</v>
      </c>
      <c r="G442" s="113" t="s">
        <v>207</v>
      </c>
      <c r="J442" s="121"/>
      <c r="K442" s="121"/>
      <c r="L442" s="191">
        <f t="shared" si="108"/>
        <v>154384.49059354595</v>
      </c>
      <c r="M442" s="121"/>
      <c r="N442" s="191">
        <f t="shared" si="109"/>
        <v>174299.77743221092</v>
      </c>
      <c r="O442" s="191">
        <f t="shared" si="109"/>
        <v>10256.145044397053</v>
      </c>
      <c r="P442" s="191">
        <f t="shared" si="109"/>
        <v>276913.14959383686</v>
      </c>
      <c r="Q442" s="121"/>
      <c r="R442" s="121"/>
      <c r="S442" s="121"/>
      <c r="T442" s="121"/>
      <c r="U442" s="121"/>
      <c r="V442" s="121"/>
      <c r="W442" s="121"/>
      <c r="X442" s="121"/>
      <c r="Y442" s="121"/>
      <c r="AQ442" s="3"/>
    </row>
    <row r="443" spans="3:43" x14ac:dyDescent="0.25">
      <c r="E443" s="60"/>
      <c r="F443" s="113" t="s">
        <v>212</v>
      </c>
      <c r="G443" s="113" t="s">
        <v>212</v>
      </c>
      <c r="J443" s="121"/>
      <c r="K443" s="121"/>
      <c r="L443" s="191">
        <f t="shared" si="108"/>
        <v>21242.534553764388</v>
      </c>
      <c r="M443" s="121"/>
      <c r="N443" s="191">
        <f t="shared" si="109"/>
        <v>1355.3228535974627</v>
      </c>
      <c r="O443" s="191">
        <f t="shared" si="109"/>
        <v>42.661013411736427</v>
      </c>
      <c r="P443" s="191">
        <f t="shared" si="109"/>
        <v>185.31620609204165</v>
      </c>
      <c r="Q443" s="121"/>
      <c r="R443" s="121"/>
      <c r="S443" s="121"/>
      <c r="T443" s="121"/>
      <c r="U443" s="121"/>
      <c r="V443" s="121"/>
      <c r="W443" s="121"/>
      <c r="X443" s="121"/>
      <c r="Y443" s="121"/>
      <c r="AQ443" s="3"/>
    </row>
    <row r="444" spans="3:43" x14ac:dyDescent="0.25">
      <c r="E444" s="60"/>
      <c r="F444" s="113" t="s">
        <v>250</v>
      </c>
      <c r="G444" s="113" t="s">
        <v>251</v>
      </c>
      <c r="J444" s="121"/>
      <c r="K444" s="121"/>
      <c r="L444" s="191">
        <f t="shared" si="108"/>
        <v>0</v>
      </c>
      <c r="M444" s="121"/>
      <c r="N444" s="191">
        <f t="shared" si="109"/>
        <v>251001.77896331871</v>
      </c>
      <c r="O444" s="191">
        <f t="shared" si="109"/>
        <v>8300.7280176406966</v>
      </c>
      <c r="P444" s="191">
        <f t="shared" si="109"/>
        <v>252577.79692622856</v>
      </c>
      <c r="Q444" s="121"/>
      <c r="R444" s="121"/>
      <c r="S444" s="121"/>
      <c r="T444" s="121"/>
      <c r="U444" s="121"/>
      <c r="V444" s="121"/>
      <c r="W444" s="121"/>
      <c r="X444" s="121"/>
      <c r="Y444" s="121"/>
      <c r="AQ444" s="3"/>
    </row>
    <row r="445" spans="3:43" x14ac:dyDescent="0.25">
      <c r="E445" s="60"/>
      <c r="F445" s="113" t="s">
        <v>252</v>
      </c>
      <c r="G445" s="113" t="s">
        <v>251</v>
      </c>
      <c r="J445" s="121"/>
      <c r="K445" s="121"/>
      <c r="L445" s="191">
        <f t="shared" si="108"/>
        <v>0</v>
      </c>
      <c r="M445" s="121"/>
      <c r="N445" s="191">
        <f t="shared" si="109"/>
        <v>1214.46368462957</v>
      </c>
      <c r="O445" s="191">
        <f t="shared" si="109"/>
        <v>59.583333333333336</v>
      </c>
      <c r="P445" s="191">
        <f t="shared" si="109"/>
        <v>1505.75</v>
      </c>
      <c r="Q445" s="121"/>
      <c r="R445" s="121"/>
      <c r="S445" s="121"/>
      <c r="T445" s="121"/>
      <c r="U445" s="121"/>
      <c r="V445" s="121"/>
      <c r="W445" s="121"/>
      <c r="X445" s="121"/>
      <c r="Y445" s="121"/>
      <c r="AQ445" s="3"/>
    </row>
    <row r="446" spans="3:43" x14ac:dyDescent="0.25">
      <c r="E446" s="60"/>
      <c r="F446" s="115" t="s">
        <v>253</v>
      </c>
      <c r="G446" s="115" t="s">
        <v>254</v>
      </c>
      <c r="H446" s="91"/>
      <c r="I446" s="91"/>
      <c r="J446" s="116"/>
      <c r="K446" s="116"/>
      <c r="L446" s="143">
        <f t="shared" si="108"/>
        <v>0</v>
      </c>
      <c r="M446" s="116"/>
      <c r="N446" s="143">
        <f t="shared" si="109"/>
        <v>31493.432274132127</v>
      </c>
      <c r="O446" s="143">
        <f t="shared" si="109"/>
        <v>2099.3507453948209</v>
      </c>
      <c r="P446" s="143">
        <f t="shared" si="109"/>
        <v>31126.877608458952</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960</v>
      </c>
      <c r="G450" s="46"/>
      <c r="I450" t="s">
        <v>154</v>
      </c>
      <c r="AQ450" s="3"/>
    </row>
    <row r="451" spans="3:43" x14ac:dyDescent="0.25">
      <c r="E451" s="60"/>
      <c r="F451" s="111" t="s">
        <v>247</v>
      </c>
      <c r="G451" s="111" t="s">
        <v>207</v>
      </c>
      <c r="H451" s="90"/>
      <c r="I451" s="90"/>
      <c r="J451" s="112"/>
      <c r="K451" s="112"/>
      <c r="L451" s="169">
        <f t="shared" ref="L451:L457" si="110">(1 - L315) * L141</f>
        <v>154.70040032771479</v>
      </c>
      <c r="M451" s="112"/>
      <c r="N451" s="169">
        <f t="shared" ref="N451:P457" si="111">(1 - N315) * N141</f>
        <v>202.78506319143131</v>
      </c>
      <c r="O451" s="169">
        <f t="shared" si="111"/>
        <v>0</v>
      </c>
      <c r="P451" s="169">
        <f t="shared" si="111"/>
        <v>0</v>
      </c>
      <c r="Q451" s="112"/>
      <c r="R451" s="112"/>
      <c r="S451" s="112"/>
      <c r="T451" s="112"/>
      <c r="U451" s="112"/>
      <c r="V451" s="112"/>
      <c r="W451" s="112"/>
      <c r="X451" s="112"/>
      <c r="Y451" s="112"/>
      <c r="AQ451" s="3"/>
    </row>
    <row r="452" spans="3:43" x14ac:dyDescent="0.25">
      <c r="E452" s="60"/>
      <c r="F452" s="113" t="s">
        <v>248</v>
      </c>
      <c r="G452" s="113" t="s">
        <v>207</v>
      </c>
      <c r="J452" s="121"/>
      <c r="K452" s="121"/>
      <c r="L452" s="191">
        <f t="shared" si="110"/>
        <v>798.38497902546419</v>
      </c>
      <c r="M452" s="121"/>
      <c r="N452" s="191">
        <f t="shared" si="111"/>
        <v>905.37051451267132</v>
      </c>
      <c r="O452" s="191">
        <f t="shared" si="111"/>
        <v>0</v>
      </c>
      <c r="P452" s="191">
        <f t="shared" si="111"/>
        <v>0</v>
      </c>
      <c r="Q452" s="121"/>
      <c r="R452" s="121"/>
      <c r="S452" s="121"/>
      <c r="T452" s="121"/>
      <c r="U452" s="121"/>
      <c r="V452" s="121"/>
      <c r="W452" s="121"/>
      <c r="X452" s="121"/>
      <c r="Y452" s="121"/>
      <c r="AQ452" s="3"/>
    </row>
    <row r="453" spans="3:43" x14ac:dyDescent="0.25">
      <c r="E453" s="60"/>
      <c r="F453" s="113" t="s">
        <v>249</v>
      </c>
      <c r="G453" s="113" t="s">
        <v>207</v>
      </c>
      <c r="J453" s="121"/>
      <c r="K453" s="121"/>
      <c r="L453" s="191">
        <f t="shared" si="110"/>
        <v>629.1726401686999</v>
      </c>
      <c r="M453" s="121"/>
      <c r="N453" s="191">
        <f t="shared" si="111"/>
        <v>821.08671709773671</v>
      </c>
      <c r="O453" s="191">
        <f t="shared" si="111"/>
        <v>0</v>
      </c>
      <c r="P453" s="191">
        <f t="shared" si="111"/>
        <v>0</v>
      </c>
      <c r="Q453" s="121"/>
      <c r="R453" s="121"/>
      <c r="S453" s="121"/>
      <c r="T453" s="121"/>
      <c r="U453" s="121"/>
      <c r="V453" s="121"/>
      <c r="W453" s="121"/>
      <c r="X453" s="121"/>
      <c r="Y453" s="121"/>
      <c r="AQ453" s="3"/>
    </row>
    <row r="454" spans="3:43" x14ac:dyDescent="0.25">
      <c r="E454" s="60"/>
      <c r="F454" s="113" t="s">
        <v>212</v>
      </c>
      <c r="G454" s="113" t="s">
        <v>212</v>
      </c>
      <c r="J454" s="121"/>
      <c r="K454" s="121"/>
      <c r="L454" s="191">
        <f t="shared" si="110"/>
        <v>64.163000152240457</v>
      </c>
      <c r="M454" s="121"/>
      <c r="N454" s="191">
        <f t="shared" si="111"/>
        <v>10.194121519514837</v>
      </c>
      <c r="O454" s="191">
        <f t="shared" si="111"/>
        <v>0</v>
      </c>
      <c r="P454" s="191">
        <f t="shared" si="111"/>
        <v>0</v>
      </c>
      <c r="Q454" s="121"/>
      <c r="R454" s="121"/>
      <c r="S454" s="121"/>
      <c r="T454" s="121"/>
      <c r="U454" s="121"/>
      <c r="V454" s="121"/>
      <c r="W454" s="121"/>
      <c r="X454" s="121"/>
      <c r="Y454" s="121"/>
      <c r="AQ454" s="3"/>
    </row>
    <row r="455" spans="3:43" x14ac:dyDescent="0.25">
      <c r="E455" s="60"/>
      <c r="F455" s="113" t="s">
        <v>250</v>
      </c>
      <c r="G455" s="113" t="s">
        <v>251</v>
      </c>
      <c r="J455" s="121"/>
      <c r="K455" s="121"/>
      <c r="L455" s="191">
        <f t="shared" si="110"/>
        <v>0</v>
      </c>
      <c r="M455" s="121"/>
      <c r="N455" s="191">
        <f t="shared" si="111"/>
        <v>4495.607590106044</v>
      </c>
      <c r="O455" s="191">
        <f t="shared" si="111"/>
        <v>0</v>
      </c>
      <c r="P455" s="191">
        <f t="shared" si="111"/>
        <v>0</v>
      </c>
      <c r="Q455" s="121"/>
      <c r="R455" s="121"/>
      <c r="S455" s="121"/>
      <c r="T455" s="121"/>
      <c r="U455" s="121"/>
      <c r="V455" s="121"/>
      <c r="W455" s="121"/>
      <c r="X455" s="121"/>
      <c r="Y455" s="121"/>
      <c r="AQ455" s="3"/>
    </row>
    <row r="456" spans="3:43" x14ac:dyDescent="0.25">
      <c r="E456" s="60"/>
      <c r="F456" s="113" t="s">
        <v>252</v>
      </c>
      <c r="G456" s="113" t="s">
        <v>251</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25">
      <c r="E457" s="60"/>
      <c r="F457" s="115" t="s">
        <v>253</v>
      </c>
      <c r="G457" s="115" t="s">
        <v>254</v>
      </c>
      <c r="H457" s="91"/>
      <c r="I457" s="91"/>
      <c r="J457" s="116"/>
      <c r="K457" s="116"/>
      <c r="L457" s="143">
        <f t="shared" si="110"/>
        <v>0</v>
      </c>
      <c r="M457" s="116"/>
      <c r="N457" s="143">
        <f t="shared" si="111"/>
        <v>116.52240689329679</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961</v>
      </c>
      <c r="G459" s="46"/>
      <c r="I459" t="s">
        <v>154</v>
      </c>
      <c r="AQ459" s="3"/>
    </row>
    <row r="460" spans="3:43" x14ac:dyDescent="0.25">
      <c r="E460" s="60"/>
      <c r="F460" s="111" t="s">
        <v>247</v>
      </c>
      <c r="G460" s="111" t="s">
        <v>207</v>
      </c>
      <c r="H460" s="90"/>
      <c r="I460" s="90"/>
      <c r="J460" s="112"/>
      <c r="K460" s="112"/>
      <c r="L460" s="169">
        <f t="shared" ref="L460:L466" si="112">(1 - L324) * L188</f>
        <v>421.2848311726105</v>
      </c>
      <c r="M460" s="112"/>
      <c r="N460" s="169">
        <f t="shared" ref="N460:P466" si="113">(1 - N324) * N188</f>
        <v>3475.7337447475034</v>
      </c>
      <c r="O460" s="169">
        <f t="shared" si="113"/>
        <v>2401.8603159257123</v>
      </c>
      <c r="P460" s="169">
        <f t="shared" si="113"/>
        <v>1138.181497313803</v>
      </c>
      <c r="Q460" s="112"/>
      <c r="R460" s="112"/>
      <c r="S460" s="112"/>
      <c r="T460" s="112"/>
      <c r="U460" s="112"/>
      <c r="V460" s="112"/>
      <c r="W460" s="112"/>
      <c r="X460" s="112"/>
      <c r="Y460" s="112"/>
      <c r="AQ460" s="3"/>
    </row>
    <row r="461" spans="3:43" x14ac:dyDescent="0.25">
      <c r="E461" s="60"/>
      <c r="F461" s="113" t="s">
        <v>248</v>
      </c>
      <c r="G461" s="113" t="s">
        <v>207</v>
      </c>
      <c r="J461" s="121"/>
      <c r="K461" s="121"/>
      <c r="L461" s="191">
        <f t="shared" si="112"/>
        <v>2175.4401872572475</v>
      </c>
      <c r="M461" s="121"/>
      <c r="N461" s="191">
        <f t="shared" si="113"/>
        <v>15778.49283869556</v>
      </c>
      <c r="O461" s="191">
        <f t="shared" si="113"/>
        <v>10721.108727635436</v>
      </c>
      <c r="P461" s="191">
        <f t="shared" si="113"/>
        <v>5508.002656514308</v>
      </c>
      <c r="Q461" s="121"/>
      <c r="R461" s="121"/>
      <c r="S461" s="121"/>
      <c r="T461" s="121"/>
      <c r="U461" s="121"/>
      <c r="V461" s="121"/>
      <c r="W461" s="121"/>
      <c r="X461" s="121"/>
      <c r="Y461" s="121"/>
      <c r="AQ461" s="3"/>
    </row>
    <row r="462" spans="3:43" x14ac:dyDescent="0.25">
      <c r="E462" s="60"/>
      <c r="F462" s="113" t="s">
        <v>249</v>
      </c>
      <c r="G462" s="113" t="s">
        <v>207</v>
      </c>
      <c r="J462" s="121"/>
      <c r="K462" s="121"/>
      <c r="L462" s="191">
        <f t="shared" si="112"/>
        <v>1794.6781651820527</v>
      </c>
      <c r="M462" s="121"/>
      <c r="N462" s="191">
        <f t="shared" si="113"/>
        <v>14243.345093981698</v>
      </c>
      <c r="O462" s="191">
        <f t="shared" si="113"/>
        <v>10006.505636582717</v>
      </c>
      <c r="P462" s="191">
        <f t="shared" si="113"/>
        <v>7663.1796954417723</v>
      </c>
      <c r="Q462" s="121"/>
      <c r="R462" s="121"/>
      <c r="S462" s="121"/>
      <c r="T462" s="121"/>
      <c r="U462" s="121"/>
      <c r="V462" s="121"/>
      <c r="W462" s="121"/>
      <c r="X462" s="121"/>
      <c r="Y462" s="121"/>
      <c r="AQ462" s="3"/>
    </row>
    <row r="463" spans="3:43" x14ac:dyDescent="0.25">
      <c r="E463" s="60"/>
      <c r="F463" s="113" t="s">
        <v>212</v>
      </c>
      <c r="G463" s="113" t="s">
        <v>212</v>
      </c>
      <c r="J463" s="121"/>
      <c r="K463" s="121"/>
      <c r="L463" s="191">
        <f t="shared" si="112"/>
        <v>115.52750942013162</v>
      </c>
      <c r="M463" s="121"/>
      <c r="N463" s="191">
        <f t="shared" si="113"/>
        <v>68.050450754324117</v>
      </c>
      <c r="O463" s="191">
        <f t="shared" si="113"/>
        <v>27.101549881193453</v>
      </c>
      <c r="P463" s="191">
        <f t="shared" si="113"/>
        <v>6.0756641051904632</v>
      </c>
      <c r="Q463" s="121"/>
      <c r="R463" s="121"/>
      <c r="S463" s="121"/>
      <c r="T463" s="121"/>
      <c r="U463" s="121"/>
      <c r="V463" s="121"/>
      <c r="W463" s="121"/>
      <c r="X463" s="121"/>
      <c r="Y463" s="121"/>
      <c r="AQ463" s="3"/>
    </row>
    <row r="464" spans="3:43" x14ac:dyDescent="0.25">
      <c r="E464" s="60"/>
      <c r="F464" s="113" t="s">
        <v>250</v>
      </c>
      <c r="G464" s="113" t="s">
        <v>251</v>
      </c>
      <c r="J464" s="121"/>
      <c r="K464" s="121"/>
      <c r="L464" s="191">
        <f t="shared" si="112"/>
        <v>0</v>
      </c>
      <c r="M464" s="121"/>
      <c r="N464" s="191">
        <f t="shared" si="113"/>
        <v>31251.773866767799</v>
      </c>
      <c r="O464" s="191">
        <f t="shared" si="113"/>
        <v>17886.361908175943</v>
      </c>
      <c r="P464" s="191">
        <f t="shared" si="113"/>
        <v>17619.425905052343</v>
      </c>
      <c r="Q464" s="121"/>
      <c r="R464" s="121"/>
      <c r="S464" s="121"/>
      <c r="T464" s="121"/>
      <c r="U464" s="121"/>
      <c r="V464" s="121"/>
      <c r="W464" s="121"/>
      <c r="X464" s="121"/>
      <c r="Y464" s="121"/>
      <c r="AQ464" s="3"/>
    </row>
    <row r="465" spans="3:43" x14ac:dyDescent="0.25">
      <c r="E465" s="60"/>
      <c r="F465" s="113" t="s">
        <v>252</v>
      </c>
      <c r="G465" s="113" t="s">
        <v>251</v>
      </c>
      <c r="J465" s="121"/>
      <c r="K465" s="121"/>
      <c r="L465" s="191">
        <f t="shared" si="112"/>
        <v>0</v>
      </c>
      <c r="M465" s="121"/>
      <c r="N465" s="191">
        <f t="shared" si="113"/>
        <v>1.0550457481290558</v>
      </c>
      <c r="O465" s="191">
        <f t="shared" si="113"/>
        <v>0</v>
      </c>
      <c r="P465" s="191">
        <f t="shared" si="113"/>
        <v>0</v>
      </c>
      <c r="Q465" s="121"/>
      <c r="R465" s="121"/>
      <c r="S465" s="121"/>
      <c r="T465" s="121"/>
      <c r="U465" s="121"/>
      <c r="V465" s="121"/>
      <c r="W465" s="121"/>
      <c r="X465" s="121"/>
      <c r="Y465" s="121"/>
      <c r="AQ465" s="3"/>
    </row>
    <row r="466" spans="3:43" x14ac:dyDescent="0.25">
      <c r="E466" s="60"/>
      <c r="F466" s="115" t="s">
        <v>253</v>
      </c>
      <c r="G466" s="115" t="s">
        <v>254</v>
      </c>
      <c r="H466" s="91"/>
      <c r="I466" s="91"/>
      <c r="J466" s="116"/>
      <c r="K466" s="116"/>
      <c r="L466" s="143">
        <f t="shared" si="112"/>
        <v>0</v>
      </c>
      <c r="M466" s="116"/>
      <c r="N466" s="143">
        <f t="shared" si="113"/>
        <v>2071.1028081588765</v>
      </c>
      <c r="O466" s="143">
        <f t="shared" si="113"/>
        <v>1037.9444115377112</v>
      </c>
      <c r="P466" s="143">
        <f t="shared" si="113"/>
        <v>199.64024683245344</v>
      </c>
      <c r="Q466" s="116"/>
      <c r="R466" s="116"/>
      <c r="S466" s="116"/>
      <c r="T466" s="116"/>
      <c r="U466" s="116"/>
      <c r="V466" s="116"/>
      <c r="W466" s="116"/>
      <c r="X466" s="116"/>
      <c r="Y466" s="116"/>
      <c r="AQ466" s="3"/>
    </row>
    <row r="467" spans="3:43" x14ac:dyDescent="0.25">
      <c r="AQ467" s="3"/>
    </row>
    <row r="468" spans="3:43" x14ac:dyDescent="0.25">
      <c r="E468" s="60" t="s">
        <v>962</v>
      </c>
      <c r="G468" s="46"/>
      <c r="I468" t="s">
        <v>154</v>
      </c>
      <c r="AQ468" s="3"/>
    </row>
    <row r="469" spans="3:43" x14ac:dyDescent="0.25">
      <c r="E469" s="60"/>
      <c r="F469" s="111" t="s">
        <v>247</v>
      </c>
      <c r="G469" s="111" t="s">
        <v>207</v>
      </c>
      <c r="H469" s="90"/>
      <c r="I469" s="90"/>
      <c r="J469" s="112"/>
      <c r="K469" s="112"/>
      <c r="L469" s="169">
        <f t="shared" ref="L469:L475" si="114">L94+L451+L460</f>
        <v>109528.03228480776</v>
      </c>
      <c r="M469" s="112"/>
      <c r="N469" s="169">
        <f t="shared" ref="N469:P475" si="115">N94+N451+N460</f>
        <v>94146.142039384256</v>
      </c>
      <c r="O469" s="169">
        <f t="shared" si="115"/>
        <v>24191.291388453097</v>
      </c>
      <c r="P469" s="169">
        <f t="shared" si="115"/>
        <v>166522.76256984114</v>
      </c>
      <c r="Q469" s="112"/>
      <c r="R469" s="112"/>
      <c r="S469" s="112"/>
      <c r="T469" s="112"/>
      <c r="U469" s="112"/>
      <c r="V469" s="112"/>
      <c r="W469" s="112"/>
      <c r="X469" s="112"/>
      <c r="Y469" s="112"/>
      <c r="AQ469" s="3"/>
    </row>
    <row r="470" spans="3:43" x14ac:dyDescent="0.25">
      <c r="E470" s="60"/>
      <c r="F470" s="113" t="s">
        <v>248</v>
      </c>
      <c r="G470" s="113" t="s">
        <v>207</v>
      </c>
      <c r="J470" s="121"/>
      <c r="K470" s="121"/>
      <c r="L470" s="191">
        <f t="shared" si="114"/>
        <v>568234.86863453756</v>
      </c>
      <c r="M470" s="121"/>
      <c r="N470" s="191">
        <f t="shared" si="115"/>
        <v>464262.89714032284</v>
      </c>
      <c r="O470" s="191">
        <f t="shared" si="115"/>
        <v>112988.70826887812</v>
      </c>
      <c r="P470" s="191">
        <f t="shared" si="115"/>
        <v>768573.83305879321</v>
      </c>
      <c r="Q470" s="121"/>
      <c r="R470" s="121"/>
      <c r="S470" s="121"/>
      <c r="T470" s="121"/>
      <c r="U470" s="121"/>
      <c r="V470" s="121"/>
      <c r="W470" s="121"/>
      <c r="X470" s="121"/>
      <c r="Y470" s="121"/>
      <c r="AQ470" s="3"/>
    </row>
    <row r="471" spans="3:43" x14ac:dyDescent="0.25">
      <c r="E471" s="60"/>
      <c r="F471" s="113" t="s">
        <v>249</v>
      </c>
      <c r="G471" s="113" t="s">
        <v>207</v>
      </c>
      <c r="J471" s="121"/>
      <c r="K471" s="121"/>
      <c r="L471" s="191">
        <f t="shared" si="114"/>
        <v>469901.47184932401</v>
      </c>
      <c r="M471" s="121"/>
      <c r="N471" s="191">
        <f t="shared" si="115"/>
        <v>416076.60813448671</v>
      </c>
      <c r="O471" s="191">
        <f t="shared" si="115"/>
        <v>113605.9878264474</v>
      </c>
      <c r="P471" s="191">
        <f t="shared" si="115"/>
        <v>894501.02365176321</v>
      </c>
      <c r="Q471" s="121"/>
      <c r="R471" s="121"/>
      <c r="S471" s="121"/>
      <c r="T471" s="121"/>
      <c r="U471" s="121"/>
      <c r="V471" s="121"/>
      <c r="W471" s="121"/>
      <c r="X471" s="121"/>
      <c r="Y471" s="121"/>
      <c r="AQ471" s="3"/>
    </row>
    <row r="472" spans="3:43" x14ac:dyDescent="0.25">
      <c r="E472" s="60"/>
      <c r="F472" s="113" t="s">
        <v>212</v>
      </c>
      <c r="G472" s="113" t="s">
        <v>212</v>
      </c>
      <c r="J472" s="121"/>
      <c r="K472" s="121"/>
      <c r="L472" s="191">
        <f t="shared" si="114"/>
        <v>22099.690509572371</v>
      </c>
      <c r="M472" s="121"/>
      <c r="N472" s="191">
        <f t="shared" si="115"/>
        <v>1660.2445722738389</v>
      </c>
      <c r="O472" s="191">
        <f t="shared" si="115"/>
        <v>235.10154988119345</v>
      </c>
      <c r="P472" s="191">
        <f t="shared" si="115"/>
        <v>211.07566410519047</v>
      </c>
      <c r="Q472" s="121"/>
      <c r="R472" s="121"/>
      <c r="S472" s="121"/>
      <c r="T472" s="121"/>
      <c r="U472" s="121"/>
      <c r="V472" s="121"/>
      <c r="W472" s="121"/>
      <c r="X472" s="121"/>
      <c r="Y472" s="121"/>
      <c r="AQ472" s="3"/>
    </row>
    <row r="473" spans="3:43" x14ac:dyDescent="0.25">
      <c r="E473" s="60"/>
      <c r="F473" s="113" t="s">
        <v>250</v>
      </c>
      <c r="G473" s="113" t="s">
        <v>251</v>
      </c>
      <c r="J473" s="121"/>
      <c r="K473" s="121"/>
      <c r="L473" s="191">
        <f t="shared" si="114"/>
        <v>0</v>
      </c>
      <c r="M473" s="121"/>
      <c r="N473" s="191">
        <f t="shared" si="115"/>
        <v>654702.38145687385</v>
      </c>
      <c r="O473" s="191">
        <f t="shared" si="115"/>
        <v>116412.36190817594</v>
      </c>
      <c r="P473" s="191">
        <f t="shared" si="115"/>
        <v>726078.42590505234</v>
      </c>
      <c r="Q473" s="121"/>
      <c r="R473" s="121"/>
      <c r="S473" s="121"/>
      <c r="T473" s="121"/>
      <c r="U473" s="121"/>
      <c r="V473" s="121"/>
      <c r="W473" s="121"/>
      <c r="X473" s="121"/>
      <c r="Y473" s="121"/>
      <c r="AQ473" s="3"/>
    </row>
    <row r="474" spans="3:43" x14ac:dyDescent="0.25">
      <c r="E474" s="60"/>
      <c r="F474" s="113" t="s">
        <v>252</v>
      </c>
      <c r="G474" s="113" t="s">
        <v>251</v>
      </c>
      <c r="J474" s="121"/>
      <c r="K474" s="121"/>
      <c r="L474" s="191">
        <f t="shared" si="114"/>
        <v>0</v>
      </c>
      <c r="M474" s="121"/>
      <c r="N474" s="191">
        <f t="shared" si="115"/>
        <v>1703.6383790814625</v>
      </c>
      <c r="O474" s="191">
        <f t="shared" si="115"/>
        <v>348.83333333333331</v>
      </c>
      <c r="P474" s="191">
        <f t="shared" si="115"/>
        <v>3677.916666666667</v>
      </c>
      <c r="Q474" s="121"/>
      <c r="R474" s="121"/>
      <c r="S474" s="121"/>
      <c r="T474" s="121"/>
      <c r="U474" s="121"/>
      <c r="V474" s="121"/>
      <c r="W474" s="121"/>
      <c r="X474" s="121"/>
      <c r="Y474" s="121"/>
      <c r="AQ474" s="3"/>
    </row>
    <row r="475" spans="3:43" x14ac:dyDescent="0.25">
      <c r="E475" s="60"/>
      <c r="F475" s="115" t="s">
        <v>253</v>
      </c>
      <c r="G475" s="115" t="s">
        <v>254</v>
      </c>
      <c r="H475" s="91"/>
      <c r="I475" s="91"/>
      <c r="J475" s="116"/>
      <c r="K475" s="116"/>
      <c r="L475" s="143">
        <f t="shared" si="114"/>
        <v>0</v>
      </c>
      <c r="M475" s="116"/>
      <c r="N475" s="143">
        <f t="shared" si="115"/>
        <v>82605.021215052169</v>
      </c>
      <c r="O475" s="143">
        <f t="shared" si="115"/>
        <v>18509.411411537712</v>
      </c>
      <c r="P475" s="143">
        <f t="shared" si="115"/>
        <v>131880.74224683247</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1002</v>
      </c>
      <c r="AQ479" s="3"/>
    </row>
    <row r="480" spans="3:43" x14ac:dyDescent="0.25">
      <c r="E480" s="111" t="s">
        <v>247</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969</v>
      </c>
      <c r="G481" t="s">
        <v>207</v>
      </c>
      <c r="J481" s="174">
        <f t="shared" ref="J481:Y481" si="116">J353</f>
        <v>0</v>
      </c>
      <c r="K481" s="174">
        <f t="shared" si="116"/>
        <v>584.41884165229453</v>
      </c>
      <c r="L481" s="174">
        <f t="shared" si="116"/>
        <v>17.287783850161901</v>
      </c>
      <c r="M481" s="174">
        <f t="shared" si="116"/>
        <v>483.15300000000002</v>
      </c>
      <c r="N481" s="174">
        <f t="shared" si="116"/>
        <v>11.680688004034213</v>
      </c>
      <c r="O481" s="174">
        <f t="shared" si="116"/>
        <v>0.14310184384727981</v>
      </c>
      <c r="P481" s="174">
        <f t="shared" si="116"/>
        <v>501.18634038179846</v>
      </c>
      <c r="Q481" s="174">
        <f t="shared" si="116"/>
        <v>0</v>
      </c>
      <c r="R481" s="174">
        <f t="shared" si="116"/>
        <v>13715.66896284854</v>
      </c>
      <c r="S481" s="174">
        <f t="shared" si="116"/>
        <v>52.1242510546167</v>
      </c>
      <c r="T481" s="174">
        <f t="shared" si="116"/>
        <v>5844.5739999999987</v>
      </c>
      <c r="U481" s="174">
        <f t="shared" si="116"/>
        <v>0</v>
      </c>
      <c r="V481" s="174">
        <f t="shared" si="116"/>
        <v>64.59099999999998</v>
      </c>
      <c r="W481" s="174">
        <f t="shared" si="116"/>
        <v>0</v>
      </c>
      <c r="X481" s="174">
        <f t="shared" si="116"/>
        <v>115415.10300000002</v>
      </c>
      <c r="Y481" s="174">
        <f t="shared" si="116"/>
        <v>0</v>
      </c>
      <c r="AQ481" s="3"/>
    </row>
    <row r="482" spans="5:43" x14ac:dyDescent="0.25">
      <c r="E482" s="124"/>
      <c r="F482" s="2" t="s">
        <v>970</v>
      </c>
      <c r="G482" t="s">
        <v>207</v>
      </c>
      <c r="J482" s="198">
        <f t="shared" ref="J482:Y482" si="117">J382</f>
        <v>728623.55510337406</v>
      </c>
      <c r="K482" s="198">
        <f t="shared" si="117"/>
        <v>0</v>
      </c>
      <c r="L482" s="198">
        <f t="shared" si="117"/>
        <v>16714.932807878631</v>
      </c>
      <c r="M482" s="198">
        <f t="shared" si="117"/>
        <v>0</v>
      </c>
      <c r="N482" s="198">
        <f t="shared" si="117"/>
        <v>48039.997165772591</v>
      </c>
      <c r="O482" s="198">
        <f t="shared" si="117"/>
        <v>122.4524465326782</v>
      </c>
      <c r="P482" s="198">
        <f t="shared" si="117"/>
        <v>17124.037470365827</v>
      </c>
      <c r="Q482" s="198">
        <f t="shared" si="117"/>
        <v>10432.607991329018</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971</v>
      </c>
      <c r="G483" t="s">
        <v>207</v>
      </c>
      <c r="J483" s="198">
        <f t="shared" ref="J483:Y483" si="118">J411</f>
        <v>0</v>
      </c>
      <c r="K483" s="198">
        <f t="shared" si="118"/>
        <v>0</v>
      </c>
      <c r="L483" s="198">
        <f t="shared" si="118"/>
        <v>29394.411425546401</v>
      </c>
      <c r="M483" s="198">
        <f t="shared" si="118"/>
        <v>0</v>
      </c>
      <c r="N483" s="198">
        <f t="shared" si="118"/>
        <v>71575.05506552312</v>
      </c>
      <c r="O483" s="198">
        <f t="shared" si="118"/>
        <v>718.10329408904522</v>
      </c>
      <c r="P483" s="198">
        <f t="shared" si="118"/>
        <v>63497.151434167426</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973</v>
      </c>
      <c r="G484" t="s">
        <v>207</v>
      </c>
      <c r="J484" s="145">
        <f t="shared" ref="J484:Y484" si="119">J440</f>
        <v>0</v>
      </c>
      <c r="K484" s="145">
        <f t="shared" si="119"/>
        <v>0</v>
      </c>
      <c r="L484" s="145">
        <f t="shared" si="119"/>
        <v>35993.169035651037</v>
      </c>
      <c r="M484" s="145">
        <f t="shared" si="119"/>
        <v>0</v>
      </c>
      <c r="N484" s="145">
        <f t="shared" si="119"/>
        <v>39769.61413837006</v>
      </c>
      <c r="O484" s="145">
        <f t="shared" si="119"/>
        <v>2003.940664475771</v>
      </c>
      <c r="P484" s="145">
        <f t="shared" si="119"/>
        <v>56507.743226801183</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972</v>
      </c>
      <c r="G485" t="s">
        <v>207</v>
      </c>
      <c r="J485" s="145">
        <f t="shared" ref="J485:Y485" si="120">J469</f>
        <v>0</v>
      </c>
      <c r="K485" s="145">
        <f t="shared" si="120"/>
        <v>0</v>
      </c>
      <c r="L485" s="145">
        <f t="shared" si="120"/>
        <v>109528.03228480776</v>
      </c>
      <c r="M485" s="145">
        <f t="shared" si="120"/>
        <v>0</v>
      </c>
      <c r="N485" s="145">
        <f t="shared" si="120"/>
        <v>94146.142039384256</v>
      </c>
      <c r="O485" s="145">
        <f t="shared" si="120"/>
        <v>24191.291388453097</v>
      </c>
      <c r="P485" s="145">
        <f t="shared" si="120"/>
        <v>166522.76256984114</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248</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969</v>
      </c>
      <c r="G487" t="s">
        <v>207</v>
      </c>
      <c r="J487" s="174">
        <f t="shared" ref="J487:Y487" si="121">J354</f>
        <v>0</v>
      </c>
      <c r="K487" s="174">
        <f t="shared" si="121"/>
        <v>16256.552449380286</v>
      </c>
      <c r="L487" s="174">
        <f t="shared" si="121"/>
        <v>89.69185070579644</v>
      </c>
      <c r="M487" s="174">
        <f t="shared" si="121"/>
        <v>7645.8209999999999</v>
      </c>
      <c r="N487" s="174">
        <f t="shared" si="121"/>
        <v>47.630057456640778</v>
      </c>
      <c r="O487" s="174">
        <f t="shared" si="121"/>
        <v>0.55054459369022912</v>
      </c>
      <c r="P487" s="174">
        <f t="shared" si="121"/>
        <v>2309.276574110876</v>
      </c>
      <c r="Q487" s="174">
        <f t="shared" si="121"/>
        <v>0</v>
      </c>
      <c r="R487" s="174">
        <f t="shared" si="121"/>
        <v>74880.496412313048</v>
      </c>
      <c r="S487" s="174">
        <f t="shared" si="121"/>
        <v>227.37680998266927</v>
      </c>
      <c r="T487" s="174">
        <f t="shared" si="121"/>
        <v>27694.664000000004</v>
      </c>
      <c r="U487" s="174">
        <f t="shared" si="121"/>
        <v>0</v>
      </c>
      <c r="V487" s="174">
        <f t="shared" si="121"/>
        <v>326.78199999999998</v>
      </c>
      <c r="W487" s="174">
        <f t="shared" si="121"/>
        <v>0</v>
      </c>
      <c r="X487" s="174">
        <f t="shared" si="121"/>
        <v>421753.54499999998</v>
      </c>
      <c r="Y487" s="174">
        <f t="shared" si="121"/>
        <v>0</v>
      </c>
      <c r="AQ487" s="3"/>
    </row>
    <row r="488" spans="5:43" x14ac:dyDescent="0.25">
      <c r="E488" s="124"/>
      <c r="F488" s="2" t="s">
        <v>970</v>
      </c>
      <c r="G488" t="s">
        <v>207</v>
      </c>
      <c r="J488" s="198">
        <f t="shared" ref="J488:Y488" si="122">J383</f>
        <v>2538014.9194967723</v>
      </c>
      <c r="K488" s="198">
        <f t="shared" si="122"/>
        <v>0</v>
      </c>
      <c r="L488" s="198">
        <f t="shared" si="122"/>
        <v>86718.601524606216</v>
      </c>
      <c r="M488" s="198">
        <f t="shared" si="122"/>
        <v>0</v>
      </c>
      <c r="N488" s="198">
        <f t="shared" si="122"/>
        <v>229725.94657336865</v>
      </c>
      <c r="O488" s="198">
        <f t="shared" si="122"/>
        <v>570.50233209290229</v>
      </c>
      <c r="P488" s="198">
        <f t="shared" si="122"/>
        <v>82110.252176217517</v>
      </c>
      <c r="Q488" s="198">
        <f t="shared" si="122"/>
        <v>61266.868596538225</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971</v>
      </c>
      <c r="G489" t="s">
        <v>207</v>
      </c>
      <c r="J489" s="198">
        <f t="shared" ref="J489:Y489" si="123">J412</f>
        <v>0</v>
      </c>
      <c r="K489" s="198">
        <f t="shared" si="123"/>
        <v>0</v>
      </c>
      <c r="L489" s="198">
        <f t="shared" si="123"/>
        <v>152500.32564653366</v>
      </c>
      <c r="M489" s="198">
        <f t="shared" si="123"/>
        <v>0</v>
      </c>
      <c r="N489" s="198">
        <f t="shared" si="123"/>
        <v>332142.60060530039</v>
      </c>
      <c r="O489" s="198">
        <f t="shared" si="123"/>
        <v>3051.1962128352056</v>
      </c>
      <c r="P489" s="198">
        <f t="shared" si="123"/>
        <v>303147.54777344479</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973</v>
      </c>
      <c r="G490" t="s">
        <v>207</v>
      </c>
      <c r="J490" s="145">
        <f t="shared" ref="J490:Y490" si="124">J441</f>
        <v>0</v>
      </c>
      <c r="K490" s="145">
        <f t="shared" si="124"/>
        <v>0</v>
      </c>
      <c r="L490" s="145">
        <f t="shared" si="124"/>
        <v>186735.13702870524</v>
      </c>
      <c r="M490" s="145">
        <f t="shared" si="124"/>
        <v>0</v>
      </c>
      <c r="N490" s="145">
        <f t="shared" si="124"/>
        <v>192056.05825753493</v>
      </c>
      <c r="O490" s="145">
        <f t="shared" si="124"/>
        <v>9269.8260636899286</v>
      </c>
      <c r="P490" s="145">
        <f t="shared" si="124"/>
        <v>263630.76479248831</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972</v>
      </c>
      <c r="G491" t="s">
        <v>207</v>
      </c>
      <c r="J491" s="145">
        <f t="shared" ref="J491:Y491" si="125">J470</f>
        <v>0</v>
      </c>
      <c r="K491" s="145">
        <f t="shared" si="125"/>
        <v>0</v>
      </c>
      <c r="L491" s="145">
        <f t="shared" si="125"/>
        <v>568234.86863453756</v>
      </c>
      <c r="M491" s="145">
        <f t="shared" si="125"/>
        <v>0</v>
      </c>
      <c r="N491" s="145">
        <f t="shared" si="125"/>
        <v>464262.89714032284</v>
      </c>
      <c r="O491" s="145">
        <f t="shared" si="125"/>
        <v>112988.70826887812</v>
      </c>
      <c r="P491" s="145">
        <f t="shared" si="125"/>
        <v>768573.83305879321</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249</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969</v>
      </c>
      <c r="G493" t="s">
        <v>207</v>
      </c>
      <c r="J493" s="174">
        <f t="shared" ref="J493:Y493" si="126">J355</f>
        <v>0</v>
      </c>
      <c r="K493" s="174">
        <f t="shared" si="126"/>
        <v>163502.90873996823</v>
      </c>
      <c r="L493" s="174">
        <f t="shared" si="126"/>
        <v>74.176229689763986</v>
      </c>
      <c r="M493" s="174">
        <f t="shared" si="126"/>
        <v>33432.284</v>
      </c>
      <c r="N493" s="174">
        <f t="shared" si="126"/>
        <v>60.893809608235522</v>
      </c>
      <c r="O493" s="174">
        <f t="shared" si="126"/>
        <v>0.77911003872407869</v>
      </c>
      <c r="P493" s="174">
        <f t="shared" si="126"/>
        <v>2960.6388173812438</v>
      </c>
      <c r="Q493" s="174">
        <f t="shared" si="126"/>
        <v>0</v>
      </c>
      <c r="R493" s="174">
        <f t="shared" si="126"/>
        <v>34204.372287182821</v>
      </c>
      <c r="S493" s="174">
        <f t="shared" si="126"/>
        <v>201.46913946310823</v>
      </c>
      <c r="T493" s="174">
        <f t="shared" si="126"/>
        <v>29331.213000000003</v>
      </c>
      <c r="U493" s="174">
        <f t="shared" si="126"/>
        <v>0</v>
      </c>
      <c r="V493" s="174">
        <f t="shared" si="126"/>
        <v>309.74</v>
      </c>
      <c r="W493" s="174">
        <f t="shared" si="126"/>
        <v>0</v>
      </c>
      <c r="X493" s="174">
        <f t="shared" si="126"/>
        <v>491598.924</v>
      </c>
      <c r="Y493" s="174">
        <f t="shared" si="126"/>
        <v>0</v>
      </c>
      <c r="AQ493" s="3"/>
    </row>
    <row r="494" spans="5:43" x14ac:dyDescent="0.25">
      <c r="E494" s="124"/>
      <c r="F494" s="2" t="s">
        <v>970</v>
      </c>
      <c r="G494" t="s">
        <v>207</v>
      </c>
      <c r="J494" s="198">
        <f t="shared" ref="J494:Y494" si="127">J384</f>
        <v>2426681.8099287972</v>
      </c>
      <c r="K494" s="198">
        <f t="shared" si="127"/>
        <v>0</v>
      </c>
      <c r="L494" s="198">
        <f t="shared" si="127"/>
        <v>71674.790840635105</v>
      </c>
      <c r="M494" s="198">
        <f t="shared" si="127"/>
        <v>0</v>
      </c>
      <c r="N494" s="198">
        <f t="shared" si="127"/>
        <v>202127.27538562487</v>
      </c>
      <c r="O494" s="198">
        <f t="shared" si="127"/>
        <v>603.57575198930022</v>
      </c>
      <c r="P494" s="198">
        <f t="shared" si="127"/>
        <v>85679.170237664148</v>
      </c>
      <c r="Q494" s="198">
        <f t="shared" si="127"/>
        <v>139201.6946331106</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971</v>
      </c>
      <c r="G495" t="s">
        <v>207</v>
      </c>
      <c r="J495" s="198">
        <f t="shared" ref="J495:Y495" si="128">J413</f>
        <v>0</v>
      </c>
      <c r="K495" s="198">
        <f t="shared" si="128"/>
        <v>0</v>
      </c>
      <c r="L495" s="198">
        <f t="shared" si="128"/>
        <v>126055.92820700265</v>
      </c>
      <c r="M495" s="198">
        <f t="shared" si="128"/>
        <v>0</v>
      </c>
      <c r="N495" s="198">
        <f t="shared" si="128"/>
        <v>291472.15441685508</v>
      </c>
      <c r="O495" s="198">
        <f t="shared" si="128"/>
        <v>3129.4013494973974</v>
      </c>
      <c r="P495" s="198">
        <f t="shared" si="128"/>
        <v>303422.32300352567</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973</v>
      </c>
      <c r="G496" t="s">
        <v>207</v>
      </c>
      <c r="J496" s="145">
        <f t="shared" ref="J496:Y496" si="129">J442</f>
        <v>0</v>
      </c>
      <c r="K496" s="145">
        <f t="shared" si="129"/>
        <v>0</v>
      </c>
      <c r="L496" s="145">
        <f t="shared" si="129"/>
        <v>154384.49059354595</v>
      </c>
      <c r="M496" s="145">
        <f t="shared" si="129"/>
        <v>0</v>
      </c>
      <c r="N496" s="145">
        <f t="shared" si="129"/>
        <v>174299.77743221092</v>
      </c>
      <c r="O496" s="145">
        <f t="shared" si="129"/>
        <v>10256.145044397053</v>
      </c>
      <c r="P496" s="145">
        <f t="shared" si="129"/>
        <v>276913.14959383686</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972</v>
      </c>
      <c r="G497" t="s">
        <v>207</v>
      </c>
      <c r="J497" s="145">
        <f t="shared" ref="J497:Y497" si="130">J471</f>
        <v>0</v>
      </c>
      <c r="K497" s="145">
        <f t="shared" si="130"/>
        <v>0</v>
      </c>
      <c r="L497" s="145">
        <f t="shared" si="130"/>
        <v>469901.47184932401</v>
      </c>
      <c r="M497" s="145">
        <f t="shared" si="130"/>
        <v>0</v>
      </c>
      <c r="N497" s="145">
        <f t="shared" si="130"/>
        <v>416076.60813448671</v>
      </c>
      <c r="O497" s="145">
        <f t="shared" si="130"/>
        <v>113605.9878264474</v>
      </c>
      <c r="P497" s="145">
        <f t="shared" si="130"/>
        <v>894501.02365176321</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212</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969</v>
      </c>
      <c r="G499" t="s">
        <v>212</v>
      </c>
      <c r="J499" s="174">
        <f t="shared" ref="J499:Y499" si="131">J356</f>
        <v>0</v>
      </c>
      <c r="K499" s="174">
        <f t="shared" si="131"/>
        <v>90264.674203310205</v>
      </c>
      <c r="L499" s="174">
        <f t="shared" si="131"/>
        <v>59</v>
      </c>
      <c r="M499" s="174">
        <f t="shared" si="131"/>
        <v>5142</v>
      </c>
      <c r="N499" s="174">
        <f t="shared" si="131"/>
        <v>24</v>
      </c>
      <c r="O499" s="174">
        <f t="shared" si="131"/>
        <v>1</v>
      </c>
      <c r="P499" s="174">
        <f t="shared" si="131"/>
        <v>148</v>
      </c>
      <c r="Q499" s="174">
        <f t="shared" si="131"/>
        <v>0</v>
      </c>
      <c r="R499" s="174">
        <f t="shared" si="131"/>
        <v>14150.894574354708</v>
      </c>
      <c r="S499" s="174">
        <f t="shared" si="131"/>
        <v>7</v>
      </c>
      <c r="T499" s="174">
        <f t="shared" si="131"/>
        <v>549</v>
      </c>
      <c r="U499" s="174">
        <f t="shared" si="131"/>
        <v>0</v>
      </c>
      <c r="V499" s="174">
        <f t="shared" si="131"/>
        <v>9</v>
      </c>
      <c r="W499" s="174">
        <f t="shared" si="131"/>
        <v>0</v>
      </c>
      <c r="X499" s="174">
        <f t="shared" si="131"/>
        <v>263</v>
      </c>
      <c r="Y499" s="174">
        <f t="shared" si="131"/>
        <v>0</v>
      </c>
      <c r="AQ499" s="3"/>
    </row>
    <row r="500" spans="5:43" x14ac:dyDescent="0.25">
      <c r="E500" s="124"/>
      <c r="F500" s="2" t="s">
        <v>970</v>
      </c>
      <c r="G500" t="s">
        <v>212</v>
      </c>
      <c r="J500" s="198">
        <f t="shared" ref="J500:Y500" si="132">J385</f>
        <v>1933377.9905270939</v>
      </c>
      <c r="K500" s="198">
        <f t="shared" si="132"/>
        <v>0</v>
      </c>
      <c r="L500" s="198">
        <f t="shared" si="132"/>
        <v>45710.425713914199</v>
      </c>
      <c r="M500" s="198">
        <f t="shared" si="132"/>
        <v>0</v>
      </c>
      <c r="N500" s="198">
        <f t="shared" si="132"/>
        <v>4627.7902960220554</v>
      </c>
      <c r="O500" s="198">
        <f t="shared" si="132"/>
        <v>9</v>
      </c>
      <c r="P500" s="198">
        <f t="shared" si="132"/>
        <v>354.83512211833926</v>
      </c>
      <c r="Q500" s="198">
        <f t="shared" si="132"/>
        <v>4926.735629790157</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971</v>
      </c>
      <c r="G501" t="s">
        <v>212</v>
      </c>
      <c r="J501" s="198">
        <f t="shared" ref="J501:Y501" si="133">J414</f>
        <v>0</v>
      </c>
      <c r="K501" s="198">
        <f t="shared" si="133"/>
        <v>0</v>
      </c>
      <c r="L501" s="198">
        <f t="shared" si="133"/>
        <v>37543.945659249985</v>
      </c>
      <c r="M501" s="198">
        <f t="shared" si="133"/>
        <v>0</v>
      </c>
      <c r="N501" s="198">
        <f t="shared" si="133"/>
        <v>3900.2995661515215</v>
      </c>
      <c r="O501" s="198">
        <f t="shared" si="133"/>
        <v>24.983040235209277</v>
      </c>
      <c r="P501" s="198">
        <f t="shared" si="133"/>
        <v>405.55674807889284</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973</v>
      </c>
      <c r="G502" t="s">
        <v>212</v>
      </c>
      <c r="J502" s="145">
        <f t="shared" ref="J502:Y502" si="134">J443</f>
        <v>0</v>
      </c>
      <c r="K502" s="145">
        <f t="shared" si="134"/>
        <v>0</v>
      </c>
      <c r="L502" s="145">
        <f t="shared" si="134"/>
        <v>21242.534553764388</v>
      </c>
      <c r="M502" s="145">
        <f t="shared" si="134"/>
        <v>0</v>
      </c>
      <c r="N502" s="145">
        <f t="shared" si="134"/>
        <v>1355.3228535974627</v>
      </c>
      <c r="O502" s="145">
        <f t="shared" si="134"/>
        <v>42.661013411736427</v>
      </c>
      <c r="P502" s="145">
        <f t="shared" si="134"/>
        <v>185.31620609204165</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972</v>
      </c>
      <c r="G503" t="s">
        <v>212</v>
      </c>
      <c r="J503" s="145">
        <f t="shared" ref="J503:Y503" si="135">J472</f>
        <v>0</v>
      </c>
      <c r="K503" s="145">
        <f t="shared" si="135"/>
        <v>0</v>
      </c>
      <c r="L503" s="145">
        <f t="shared" si="135"/>
        <v>22099.690509572371</v>
      </c>
      <c r="M503" s="145">
        <f t="shared" si="135"/>
        <v>0</v>
      </c>
      <c r="N503" s="145">
        <f t="shared" si="135"/>
        <v>1660.2445722738389</v>
      </c>
      <c r="O503" s="145">
        <f t="shared" si="135"/>
        <v>235.10154988119345</v>
      </c>
      <c r="P503" s="145">
        <f t="shared" si="135"/>
        <v>211.07566410519047</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250</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969</v>
      </c>
      <c r="G505" t="s">
        <v>251</v>
      </c>
      <c r="J505" s="174">
        <f t="shared" ref="J505:Y505" si="136">J357</f>
        <v>0</v>
      </c>
      <c r="K505" s="174">
        <f t="shared" si="136"/>
        <v>0</v>
      </c>
      <c r="L505" s="174">
        <f t="shared" si="136"/>
        <v>0</v>
      </c>
      <c r="M505" s="174">
        <f t="shared" si="136"/>
        <v>0</v>
      </c>
      <c r="N505" s="174">
        <f t="shared" si="136"/>
        <v>992</v>
      </c>
      <c r="O505" s="174">
        <f t="shared" si="136"/>
        <v>8</v>
      </c>
      <c r="P505" s="174">
        <f t="shared" si="136"/>
        <v>14725</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970</v>
      </c>
      <c r="G506" t="s">
        <v>251</v>
      </c>
      <c r="J506" s="198">
        <f t="shared" ref="J506:Y506" si="137">J386</f>
        <v>0</v>
      </c>
      <c r="K506" s="198">
        <f t="shared" si="137"/>
        <v>0</v>
      </c>
      <c r="L506" s="198">
        <f t="shared" si="137"/>
        <v>0</v>
      </c>
      <c r="M506" s="198">
        <f t="shared" si="137"/>
        <v>0</v>
      </c>
      <c r="N506" s="198">
        <f t="shared" si="137"/>
        <v>258581.67396016055</v>
      </c>
      <c r="O506" s="198">
        <f t="shared" si="137"/>
        <v>456</v>
      </c>
      <c r="P506" s="198">
        <f t="shared" si="137"/>
        <v>73567.193330067181</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971</v>
      </c>
      <c r="G507" t="s">
        <v>251</v>
      </c>
      <c r="J507" s="198">
        <f t="shared" ref="J507:Y507" si="138">J415</f>
        <v>0</v>
      </c>
      <c r="K507" s="198">
        <f t="shared" si="138"/>
        <v>0</v>
      </c>
      <c r="L507" s="198">
        <f t="shared" si="138"/>
        <v>0</v>
      </c>
      <c r="M507" s="198">
        <f t="shared" si="138"/>
        <v>0</v>
      </c>
      <c r="N507" s="198">
        <f t="shared" si="138"/>
        <v>437282.80530677165</v>
      </c>
      <c r="O507" s="198">
        <f t="shared" si="138"/>
        <v>2836.151385637811</v>
      </c>
      <c r="P507" s="198">
        <f t="shared" si="138"/>
        <v>281768.19735858485</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973</v>
      </c>
      <c r="G508" t="s">
        <v>251</v>
      </c>
      <c r="J508" s="145">
        <f t="shared" ref="J508:Y508" si="139">J444</f>
        <v>0</v>
      </c>
      <c r="K508" s="145">
        <f t="shared" si="139"/>
        <v>0</v>
      </c>
      <c r="L508" s="145">
        <f t="shared" si="139"/>
        <v>0</v>
      </c>
      <c r="M508" s="145">
        <f t="shared" si="139"/>
        <v>0</v>
      </c>
      <c r="N508" s="145">
        <f t="shared" si="139"/>
        <v>251001.77896331871</v>
      </c>
      <c r="O508" s="145">
        <f t="shared" si="139"/>
        <v>8300.7280176406966</v>
      </c>
      <c r="P508" s="145">
        <f t="shared" si="139"/>
        <v>252577.79692622856</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972</v>
      </c>
      <c r="G509" t="s">
        <v>251</v>
      </c>
      <c r="J509" s="145">
        <f>J473</f>
        <v>0</v>
      </c>
      <c r="K509" s="145">
        <f t="shared" ref="K509:Y509" si="140">K473</f>
        <v>0</v>
      </c>
      <c r="L509" s="145">
        <f t="shared" si="140"/>
        <v>0</v>
      </c>
      <c r="M509" s="145">
        <f t="shared" si="140"/>
        <v>0</v>
      </c>
      <c r="N509" s="145">
        <f t="shared" si="140"/>
        <v>654702.38145687385</v>
      </c>
      <c r="O509" s="145">
        <f t="shared" si="140"/>
        <v>116412.36190817594</v>
      </c>
      <c r="P509" s="145">
        <f t="shared" si="140"/>
        <v>726078.42590505234</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252</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969</v>
      </c>
      <c r="G511" t="s">
        <v>251</v>
      </c>
      <c r="J511" s="174">
        <f t="shared" ref="J511:Y511" si="141">J358</f>
        <v>0</v>
      </c>
      <c r="K511" s="174">
        <f t="shared" si="141"/>
        <v>0</v>
      </c>
      <c r="L511" s="174">
        <f t="shared" si="141"/>
        <v>0</v>
      </c>
      <c r="M511" s="174">
        <f t="shared" si="141"/>
        <v>0</v>
      </c>
      <c r="N511" s="174">
        <f t="shared" si="141"/>
        <v>23.583333333333332</v>
      </c>
      <c r="O511" s="174">
        <f t="shared" si="141"/>
        <v>10.416666666666666</v>
      </c>
      <c r="P511" s="174">
        <f t="shared" si="141"/>
        <v>1297.6666666666667</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970</v>
      </c>
      <c r="G512" t="s">
        <v>251</v>
      </c>
      <c r="J512" s="198">
        <f t="shared" ref="J512:Y512" si="142">J387</f>
        <v>0</v>
      </c>
      <c r="K512" s="198">
        <f t="shared" si="142"/>
        <v>0</v>
      </c>
      <c r="L512" s="198">
        <f t="shared" si="142"/>
        <v>0</v>
      </c>
      <c r="M512" s="198">
        <f t="shared" si="142"/>
        <v>0</v>
      </c>
      <c r="N512" s="198">
        <f t="shared" si="142"/>
        <v>14154.328032556781</v>
      </c>
      <c r="O512" s="198">
        <f t="shared" si="142"/>
        <v>310.16666666666663</v>
      </c>
      <c r="P512" s="198">
        <f t="shared" si="142"/>
        <v>4117.416666666667</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971</v>
      </c>
      <c r="G513" t="s">
        <v>251</v>
      </c>
      <c r="J513" s="198">
        <f t="shared" ref="J513:Y513" si="143">J416</f>
        <v>0</v>
      </c>
      <c r="K513" s="198">
        <f t="shared" si="143"/>
        <v>0</v>
      </c>
      <c r="L513" s="198">
        <f t="shared" si="143"/>
        <v>0</v>
      </c>
      <c r="M513" s="198">
        <f t="shared" si="143"/>
        <v>0</v>
      </c>
      <c r="N513" s="198">
        <f t="shared" si="143"/>
        <v>6639.4151372443876</v>
      </c>
      <c r="O513" s="198">
        <f t="shared" si="143"/>
        <v>240.66666666666666</v>
      </c>
      <c r="P513" s="198">
        <f t="shared" si="143"/>
        <v>1959.1127145021962</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973</v>
      </c>
      <c r="G514" t="s">
        <v>251</v>
      </c>
      <c r="J514" s="145">
        <f t="shared" ref="J514:Y514" si="144">J445</f>
        <v>0</v>
      </c>
      <c r="K514" s="145">
        <f t="shared" si="144"/>
        <v>0</v>
      </c>
      <c r="L514" s="145">
        <f t="shared" si="144"/>
        <v>0</v>
      </c>
      <c r="M514" s="145">
        <f t="shared" si="144"/>
        <v>0</v>
      </c>
      <c r="N514" s="145">
        <f t="shared" si="144"/>
        <v>1214.46368462957</v>
      </c>
      <c r="O514" s="145">
        <f t="shared" si="144"/>
        <v>59.583333333333336</v>
      </c>
      <c r="P514" s="145">
        <f t="shared" si="144"/>
        <v>1505.75</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972</v>
      </c>
      <c r="G515" t="s">
        <v>251</v>
      </c>
      <c r="J515" s="145">
        <f t="shared" ref="J515:Y515" si="145">J474</f>
        <v>0</v>
      </c>
      <c r="K515" s="145">
        <f t="shared" si="145"/>
        <v>0</v>
      </c>
      <c r="L515" s="145">
        <f t="shared" si="145"/>
        <v>0</v>
      </c>
      <c r="M515" s="145">
        <f t="shared" si="145"/>
        <v>0</v>
      </c>
      <c r="N515" s="145">
        <f t="shared" si="145"/>
        <v>1703.6383790814625</v>
      </c>
      <c r="O515" s="145">
        <f t="shared" si="145"/>
        <v>348.83333333333331</v>
      </c>
      <c r="P515" s="145">
        <f t="shared" si="145"/>
        <v>3677.916666666667</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253</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969</v>
      </c>
      <c r="G517" t="s">
        <v>254</v>
      </c>
      <c r="J517" s="174">
        <f t="shared" ref="J517:Y517" si="146">J359</f>
        <v>0</v>
      </c>
      <c r="K517" s="174">
        <f t="shared" si="146"/>
        <v>0</v>
      </c>
      <c r="L517" s="174">
        <f t="shared" si="146"/>
        <v>0</v>
      </c>
      <c r="M517" s="174">
        <f t="shared" si="146"/>
        <v>0</v>
      </c>
      <c r="N517" s="174">
        <f t="shared" si="146"/>
        <v>57.555</v>
      </c>
      <c r="O517" s="174">
        <f t="shared" si="146"/>
        <v>2.9279999999999999</v>
      </c>
      <c r="P517" s="174">
        <f t="shared" si="146"/>
        <v>1841.1489999999999</v>
      </c>
      <c r="Q517" s="174">
        <f t="shared" si="146"/>
        <v>0</v>
      </c>
      <c r="R517" s="174">
        <f t="shared" si="146"/>
        <v>0</v>
      </c>
      <c r="S517" s="174">
        <f t="shared" si="146"/>
        <v>0</v>
      </c>
      <c r="T517" s="174">
        <f t="shared" si="146"/>
        <v>6086.7480000000014</v>
      </c>
      <c r="U517" s="174">
        <f t="shared" si="146"/>
        <v>0</v>
      </c>
      <c r="V517" s="174">
        <f t="shared" si="146"/>
        <v>184.05</v>
      </c>
      <c r="W517" s="174">
        <f t="shared" si="146"/>
        <v>0</v>
      </c>
      <c r="X517" s="174">
        <f t="shared" si="146"/>
        <v>18732.55</v>
      </c>
      <c r="Y517" s="174">
        <f t="shared" si="146"/>
        <v>0</v>
      </c>
      <c r="AQ517" s="3"/>
    </row>
    <row r="518" spans="3:43" x14ac:dyDescent="0.25">
      <c r="E518" s="124"/>
      <c r="F518" s="2" t="s">
        <v>970</v>
      </c>
      <c r="G518" t="s">
        <v>254</v>
      </c>
      <c r="J518" s="198">
        <f t="shared" ref="J518:Y518" si="147">J388</f>
        <v>0</v>
      </c>
      <c r="K518" s="198">
        <f t="shared" si="147"/>
        <v>0</v>
      </c>
      <c r="L518" s="198">
        <f t="shared" si="147"/>
        <v>0</v>
      </c>
      <c r="M518" s="198">
        <f t="shared" si="147"/>
        <v>0</v>
      </c>
      <c r="N518" s="198">
        <f t="shared" si="147"/>
        <v>47380.8735315136</v>
      </c>
      <c r="O518" s="198">
        <f t="shared" si="147"/>
        <v>657.54399999999998</v>
      </c>
      <c r="P518" s="198">
        <f t="shared" si="147"/>
        <v>22345.143800792608</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971</v>
      </c>
      <c r="G519" t="s">
        <v>254</v>
      </c>
      <c r="J519" s="198">
        <f t="shared" ref="J519:Y519" si="148">J417</f>
        <v>0</v>
      </c>
      <c r="K519" s="198">
        <f t="shared" si="148"/>
        <v>0</v>
      </c>
      <c r="L519" s="198">
        <f t="shared" si="148"/>
        <v>0</v>
      </c>
      <c r="M519" s="198">
        <f t="shared" si="148"/>
        <v>0</v>
      </c>
      <c r="N519" s="198">
        <f t="shared" si="148"/>
        <v>58287.982394806146</v>
      </c>
      <c r="O519" s="198">
        <f t="shared" si="148"/>
        <v>566.36953833871985</v>
      </c>
      <c r="P519" s="198">
        <f t="shared" si="148"/>
        <v>33920.826334854544</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973</v>
      </c>
      <c r="G520" t="s">
        <v>254</v>
      </c>
      <c r="J520" s="145">
        <f t="shared" ref="J520:Y520" si="149">J446</f>
        <v>0</v>
      </c>
      <c r="K520" s="145">
        <f t="shared" si="149"/>
        <v>0</v>
      </c>
      <c r="L520" s="145">
        <f t="shared" si="149"/>
        <v>0</v>
      </c>
      <c r="M520" s="145">
        <f t="shared" si="149"/>
        <v>0</v>
      </c>
      <c r="N520" s="145">
        <f t="shared" si="149"/>
        <v>31493.432274132127</v>
      </c>
      <c r="O520" s="145">
        <f t="shared" si="149"/>
        <v>2099.3507453948209</v>
      </c>
      <c r="P520" s="145">
        <f t="shared" si="149"/>
        <v>31126.877608458952</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972</v>
      </c>
      <c r="G521" s="91" t="s">
        <v>254</v>
      </c>
      <c r="H521" s="91"/>
      <c r="I521" s="91"/>
      <c r="J521" s="198">
        <f t="shared" ref="J521:Y521" si="150">J475</f>
        <v>0</v>
      </c>
      <c r="K521" s="198">
        <f t="shared" si="150"/>
        <v>0</v>
      </c>
      <c r="L521" s="198">
        <f t="shared" si="150"/>
        <v>0</v>
      </c>
      <c r="M521" s="198">
        <f t="shared" si="150"/>
        <v>0</v>
      </c>
      <c r="N521" s="198">
        <f t="shared" si="150"/>
        <v>82605.021215052169</v>
      </c>
      <c r="O521" s="198">
        <f t="shared" si="150"/>
        <v>18509.411411537712</v>
      </c>
      <c r="P521" s="198">
        <f t="shared" si="150"/>
        <v>131880.74224683247</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1121</v>
      </c>
      <c r="AQ525" s="3"/>
    </row>
    <row r="526" spans="3:43" x14ac:dyDescent="0.25">
      <c r="E526" s="111" t="s">
        <v>247</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969</v>
      </c>
      <c r="G527" t="s">
        <v>207</v>
      </c>
      <c r="J527" s="174">
        <f>J58</f>
        <v>0</v>
      </c>
      <c r="K527" s="174">
        <f t="shared" ref="K527:Y527" si="151">K58</f>
        <v>583.49065558298639</v>
      </c>
      <c r="L527" s="174">
        <f t="shared" si="151"/>
        <v>17.287783850161901</v>
      </c>
      <c r="M527" s="174">
        <f t="shared" si="151"/>
        <v>483.15300000000002</v>
      </c>
      <c r="N527" s="174">
        <f t="shared" si="151"/>
        <v>11.680688004034213</v>
      </c>
      <c r="O527" s="174">
        <f t="shared" si="151"/>
        <v>0.14310184384727981</v>
      </c>
      <c r="P527" s="174">
        <f t="shared" si="151"/>
        <v>501.18634038179846</v>
      </c>
      <c r="Q527" s="174">
        <f t="shared" si="151"/>
        <v>0</v>
      </c>
      <c r="R527" s="174">
        <f t="shared" si="151"/>
        <v>8914.4630574141829</v>
      </c>
      <c r="S527" s="174">
        <f t="shared" si="151"/>
        <v>52.1242510546167</v>
      </c>
      <c r="T527" s="174">
        <f t="shared" si="151"/>
        <v>5844.5299999999988</v>
      </c>
      <c r="U527" s="174">
        <f t="shared" si="151"/>
        <v>0</v>
      </c>
      <c r="V527" s="174">
        <f t="shared" si="151"/>
        <v>64.59099999999998</v>
      </c>
      <c r="W527" s="174">
        <f t="shared" si="151"/>
        <v>0</v>
      </c>
      <c r="X527" s="174">
        <f t="shared" si="151"/>
        <v>115415.10300000002</v>
      </c>
      <c r="Y527" s="174">
        <f t="shared" si="151"/>
        <v>0</v>
      </c>
      <c r="AQ527" s="3"/>
    </row>
    <row r="528" spans="3:43" x14ac:dyDescent="0.25">
      <c r="E528" s="124"/>
      <c r="F528" s="2" t="s">
        <v>970</v>
      </c>
      <c r="G528" t="s">
        <v>207</v>
      </c>
      <c r="J528" s="198">
        <f>J67</f>
        <v>703559.81712934223</v>
      </c>
      <c r="K528" s="198">
        <f t="shared" ref="K528:Y528" si="152">K67</f>
        <v>0</v>
      </c>
      <c r="L528" s="198">
        <f t="shared" si="152"/>
        <v>16503.980903325719</v>
      </c>
      <c r="M528" s="198">
        <f t="shared" si="152"/>
        <v>0</v>
      </c>
      <c r="N528" s="198">
        <f t="shared" si="152"/>
        <v>47456.547464738745</v>
      </c>
      <c r="O528" s="198">
        <f t="shared" si="152"/>
        <v>122.4524465326782</v>
      </c>
      <c r="P528" s="198">
        <f t="shared" si="152"/>
        <v>16413.604750339815</v>
      </c>
      <c r="Q528" s="198">
        <f t="shared" si="152"/>
        <v>10411.538342882297</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971</v>
      </c>
      <c r="G529" t="s">
        <v>207</v>
      </c>
      <c r="J529" s="198">
        <f>J76</f>
        <v>0</v>
      </c>
      <c r="K529" s="198">
        <f t="shared" ref="K529:Y529" si="153">K76</f>
        <v>0</v>
      </c>
      <c r="L529" s="198">
        <f t="shared" si="153"/>
        <v>29101.976524345333</v>
      </c>
      <c r="M529" s="198">
        <f t="shared" si="153"/>
        <v>0</v>
      </c>
      <c r="N529" s="198">
        <f t="shared" si="153"/>
        <v>70214.940997212165</v>
      </c>
      <c r="O529" s="198">
        <f t="shared" si="153"/>
        <v>640.93328333587624</v>
      </c>
      <c r="P529" s="198">
        <f t="shared" si="153"/>
        <v>62616.787705325325</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973</v>
      </c>
      <c r="G530" t="s">
        <v>207</v>
      </c>
      <c r="J530" s="145">
        <f>J85</f>
        <v>0</v>
      </c>
      <c r="K530" s="145">
        <f t="shared" ref="K530:Y530" si="154">K85</f>
        <v>0</v>
      </c>
      <c r="L530" s="145">
        <f t="shared" si="154"/>
        <v>35680.021373431162</v>
      </c>
      <c r="M530" s="145">
        <f t="shared" si="154"/>
        <v>0</v>
      </c>
      <c r="N530" s="145">
        <f t="shared" si="154"/>
        <v>37760.726754192518</v>
      </c>
      <c r="O530" s="145">
        <f t="shared" si="154"/>
        <v>1971.4644145437487</v>
      </c>
      <c r="P530" s="145">
        <f t="shared" si="154"/>
        <v>55347.504030953489</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972</v>
      </c>
      <c r="G531" t="s">
        <v>207</v>
      </c>
      <c r="J531" s="145">
        <f>J94</f>
        <v>0</v>
      </c>
      <c r="K531" s="145">
        <f t="shared" ref="K531:Y531" si="155">K94</f>
        <v>0</v>
      </c>
      <c r="L531" s="145">
        <f t="shared" si="155"/>
        <v>108952.04705330744</v>
      </c>
      <c r="M531" s="145">
        <f t="shared" si="155"/>
        <v>0</v>
      </c>
      <c r="N531" s="145">
        <f t="shared" si="155"/>
        <v>90467.623231445323</v>
      </c>
      <c r="O531" s="145">
        <f t="shared" si="155"/>
        <v>21789.431072527386</v>
      </c>
      <c r="P531" s="145">
        <f t="shared" si="155"/>
        <v>165384.58107252733</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248</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969</v>
      </c>
      <c r="G533" t="s">
        <v>207</v>
      </c>
      <c r="J533" s="174">
        <f>J59</f>
        <v>0</v>
      </c>
      <c r="K533" s="174">
        <f t="shared" ref="K533:Y533" si="156">K59</f>
        <v>16234.514009424238</v>
      </c>
      <c r="L533" s="174">
        <f t="shared" si="156"/>
        <v>89.69185070579644</v>
      </c>
      <c r="M533" s="174">
        <f t="shared" si="156"/>
        <v>7645.8209999999999</v>
      </c>
      <c r="N533" s="174">
        <f t="shared" si="156"/>
        <v>47.630057456640778</v>
      </c>
      <c r="O533" s="174">
        <f t="shared" si="156"/>
        <v>0.55054459369022912</v>
      </c>
      <c r="P533" s="174">
        <f t="shared" si="156"/>
        <v>2309.276574110876</v>
      </c>
      <c r="Q533" s="174">
        <f t="shared" si="156"/>
        <v>0</v>
      </c>
      <c r="R533" s="174">
        <f t="shared" si="156"/>
        <v>49280.917648912247</v>
      </c>
      <c r="S533" s="174">
        <f t="shared" si="156"/>
        <v>227.37680998266927</v>
      </c>
      <c r="T533" s="174">
        <f t="shared" si="156"/>
        <v>27694.188000000006</v>
      </c>
      <c r="U533" s="174">
        <f t="shared" si="156"/>
        <v>0</v>
      </c>
      <c r="V533" s="174">
        <f t="shared" si="156"/>
        <v>326.78199999999998</v>
      </c>
      <c r="W533" s="174">
        <f t="shared" si="156"/>
        <v>0</v>
      </c>
      <c r="X533" s="174">
        <f t="shared" si="156"/>
        <v>421753.54499999998</v>
      </c>
      <c r="Y533" s="174">
        <f t="shared" si="156"/>
        <v>0</v>
      </c>
      <c r="AQ533" s="3"/>
    </row>
    <row r="534" spans="5:43" x14ac:dyDescent="0.25">
      <c r="E534" s="124"/>
      <c r="F534" s="2" t="s">
        <v>970</v>
      </c>
      <c r="G534" t="s">
        <v>207</v>
      </c>
      <c r="J534" s="198">
        <f>J68</f>
        <v>2447600.8517030654</v>
      </c>
      <c r="K534" s="198">
        <f t="shared" ref="K534:Y534" si="157">K68</f>
        <v>0</v>
      </c>
      <c r="L534" s="198">
        <f t="shared" si="157"/>
        <v>85625.352796075284</v>
      </c>
      <c r="M534" s="198">
        <f t="shared" si="157"/>
        <v>0</v>
      </c>
      <c r="N534" s="198">
        <f t="shared" si="157"/>
        <v>227086.37220120273</v>
      </c>
      <c r="O534" s="198">
        <f t="shared" si="157"/>
        <v>570.50233209290229</v>
      </c>
      <c r="P534" s="198">
        <f t="shared" si="157"/>
        <v>78891.638738172347</v>
      </c>
      <c r="Q534" s="198">
        <f t="shared" si="157"/>
        <v>60982.689512370809</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971</v>
      </c>
      <c r="G535" t="s">
        <v>207</v>
      </c>
      <c r="J535" s="198">
        <f>J77</f>
        <v>0</v>
      </c>
      <c r="K535" s="198">
        <f t="shared" ref="K535:Y535" si="158">K77</f>
        <v>0</v>
      </c>
      <c r="L535" s="198">
        <f t="shared" si="158"/>
        <v>150985.81497134635</v>
      </c>
      <c r="M535" s="198">
        <f t="shared" si="158"/>
        <v>0</v>
      </c>
      <c r="N535" s="198">
        <f t="shared" si="158"/>
        <v>326249.73300726258</v>
      </c>
      <c r="O535" s="198">
        <f t="shared" si="158"/>
        <v>2730.7150973827993</v>
      </c>
      <c r="P535" s="198">
        <f t="shared" si="158"/>
        <v>299340.71587722353</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973</v>
      </c>
      <c r="G536" t="s">
        <v>207</v>
      </c>
      <c r="J536" s="145">
        <f>J86</f>
        <v>0</v>
      </c>
      <c r="K536" s="145">
        <f t="shared" ref="K536:Y536" si="159">K86</f>
        <v>0</v>
      </c>
      <c r="L536" s="145">
        <f t="shared" si="159"/>
        <v>185113.78774413836</v>
      </c>
      <c r="M536" s="145">
        <f t="shared" si="159"/>
        <v>0</v>
      </c>
      <c r="N536" s="145">
        <f t="shared" si="159"/>
        <v>183346.91599941591</v>
      </c>
      <c r="O536" s="145">
        <f t="shared" si="159"/>
        <v>9124.5452309914381</v>
      </c>
      <c r="P536" s="145">
        <f t="shared" si="159"/>
        <v>258476.65741877313</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972</v>
      </c>
      <c r="G537" t="s">
        <v>207</v>
      </c>
      <c r="J537" s="145">
        <f>J95</f>
        <v>0</v>
      </c>
      <c r="K537" s="145">
        <f t="shared" ref="K537:Y537" si="160">K95</f>
        <v>0</v>
      </c>
      <c r="L537" s="145">
        <f t="shared" si="160"/>
        <v>565261.04346825485</v>
      </c>
      <c r="M537" s="145">
        <f t="shared" si="160"/>
        <v>0</v>
      </c>
      <c r="N537" s="145">
        <f t="shared" si="160"/>
        <v>447579.0337871146</v>
      </c>
      <c r="O537" s="145">
        <f t="shared" si="160"/>
        <v>102267.59954124269</v>
      </c>
      <c r="P537" s="145">
        <f t="shared" si="160"/>
        <v>763065.83040227892</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249</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969</v>
      </c>
      <c r="G539" t="s">
        <v>207</v>
      </c>
      <c r="J539" s="174">
        <f>J60</f>
        <v>0</v>
      </c>
      <c r="K539" s="174">
        <f t="shared" ref="K539:Y539" si="161">K60</f>
        <v>163317.30533499279</v>
      </c>
      <c r="L539" s="174">
        <f t="shared" si="161"/>
        <v>74.176229689763986</v>
      </c>
      <c r="M539" s="174">
        <f t="shared" si="161"/>
        <v>33432.284</v>
      </c>
      <c r="N539" s="174">
        <f t="shared" si="161"/>
        <v>60.893809608235522</v>
      </c>
      <c r="O539" s="174">
        <f t="shared" si="161"/>
        <v>0.77911003872407869</v>
      </c>
      <c r="P539" s="174">
        <f t="shared" si="161"/>
        <v>2960.6388173812438</v>
      </c>
      <c r="Q539" s="174">
        <f t="shared" si="161"/>
        <v>0</v>
      </c>
      <c r="R539" s="174">
        <f t="shared" si="161"/>
        <v>22702.507450935238</v>
      </c>
      <c r="S539" s="174">
        <f t="shared" si="161"/>
        <v>201.46913946310823</v>
      </c>
      <c r="T539" s="174">
        <f t="shared" si="161"/>
        <v>29330.011000000002</v>
      </c>
      <c r="U539" s="174">
        <f t="shared" si="161"/>
        <v>0</v>
      </c>
      <c r="V539" s="174">
        <f t="shared" si="161"/>
        <v>309.74</v>
      </c>
      <c r="W539" s="174">
        <f t="shared" si="161"/>
        <v>0</v>
      </c>
      <c r="X539" s="174">
        <f t="shared" si="161"/>
        <v>491598.924</v>
      </c>
      <c r="Y539" s="174">
        <f t="shared" si="161"/>
        <v>0</v>
      </c>
      <c r="AQ539" s="3"/>
    </row>
    <row r="540" spans="5:43" x14ac:dyDescent="0.25">
      <c r="E540" s="124"/>
      <c r="F540" s="2" t="s">
        <v>970</v>
      </c>
      <c r="G540" t="s">
        <v>207</v>
      </c>
      <c r="J540" s="198">
        <f>J69</f>
        <v>2346502.0044514849</v>
      </c>
      <c r="K540" s="198">
        <f t="shared" ref="K540:Y540" si="162">K69</f>
        <v>0</v>
      </c>
      <c r="L540" s="198">
        <f t="shared" si="162"/>
        <v>70813.187444445182</v>
      </c>
      <c r="M540" s="198">
        <f t="shared" si="162"/>
        <v>0</v>
      </c>
      <c r="N540" s="198">
        <f t="shared" si="162"/>
        <v>199145.42614226352</v>
      </c>
      <c r="O540" s="198">
        <f t="shared" si="162"/>
        <v>603.57575198930022</v>
      </c>
      <c r="P540" s="198">
        <f t="shared" si="162"/>
        <v>82180.443622255261</v>
      </c>
      <c r="Q540" s="198">
        <f t="shared" si="162"/>
        <v>138883.6383279369</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971</v>
      </c>
      <c r="G541" t="s">
        <v>207</v>
      </c>
      <c r="J541" s="198">
        <f>J78</f>
        <v>0</v>
      </c>
      <c r="K541" s="198">
        <f t="shared" ref="K541:Y541" si="163">K78</f>
        <v>0</v>
      </c>
      <c r="L541" s="198">
        <f t="shared" si="163"/>
        <v>124867.0687813894</v>
      </c>
      <c r="M541" s="198">
        <f t="shared" si="163"/>
        <v>0</v>
      </c>
      <c r="N541" s="198">
        <f t="shared" si="163"/>
        <v>286556.28865027358</v>
      </c>
      <c r="O541" s="198">
        <f t="shared" si="163"/>
        <v>2796.0232013686013</v>
      </c>
      <c r="P541" s="198">
        <f t="shared" si="163"/>
        <v>299261.62772174185</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973</v>
      </c>
      <c r="G542" t="s">
        <v>207</v>
      </c>
      <c r="J542" s="145">
        <f>J87</f>
        <v>0</v>
      </c>
      <c r="K542" s="145">
        <f t="shared" ref="K542:Y542" si="164">K87</f>
        <v>0</v>
      </c>
      <c r="L542" s="145">
        <f t="shared" si="164"/>
        <v>153091.30908103829</v>
      </c>
      <c r="M542" s="145">
        <f t="shared" si="164"/>
        <v>0</v>
      </c>
      <c r="N542" s="145">
        <f t="shared" si="164"/>
        <v>166169.22705479202</v>
      </c>
      <c r="O542" s="145">
        <f t="shared" si="164"/>
        <v>10085.728515703873</v>
      </c>
      <c r="P542" s="145">
        <f t="shared" si="164"/>
        <v>270569.8327389044</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972</v>
      </c>
      <c r="G543" t="s">
        <v>207</v>
      </c>
      <c r="J543" s="145">
        <f>J96</f>
        <v>0</v>
      </c>
      <c r="K543" s="145">
        <f t="shared" ref="K543:Y543" si="165">K96</f>
        <v>0</v>
      </c>
      <c r="L543" s="145">
        <f t="shared" si="165"/>
        <v>467477.62104397325</v>
      </c>
      <c r="M543" s="145">
        <f t="shared" si="165"/>
        <v>0</v>
      </c>
      <c r="N543" s="145">
        <f t="shared" si="165"/>
        <v>401012.17632340727</v>
      </c>
      <c r="O543" s="145">
        <f t="shared" si="165"/>
        <v>103599.48218986468</v>
      </c>
      <c r="P543" s="145">
        <f t="shared" si="165"/>
        <v>886837.84395632148</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212</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969</v>
      </c>
      <c r="G545" t="s">
        <v>212</v>
      </c>
      <c r="J545" s="174">
        <f>J61</f>
        <v>0</v>
      </c>
      <c r="K545" s="174">
        <f t="shared" ref="K545:Y545" si="166">K61</f>
        <v>90201</v>
      </c>
      <c r="L545" s="174">
        <f t="shared" si="166"/>
        <v>59</v>
      </c>
      <c r="M545" s="174">
        <f t="shared" si="166"/>
        <v>5142</v>
      </c>
      <c r="N545" s="174">
        <f t="shared" si="166"/>
        <v>24</v>
      </c>
      <c r="O545" s="174">
        <f t="shared" si="166"/>
        <v>1</v>
      </c>
      <c r="P545" s="174">
        <f t="shared" si="166"/>
        <v>148</v>
      </c>
      <c r="Q545" s="174">
        <f t="shared" si="166"/>
        <v>0</v>
      </c>
      <c r="R545" s="174">
        <f t="shared" si="166"/>
        <v>14150.894574354708</v>
      </c>
      <c r="S545" s="174">
        <f t="shared" si="166"/>
        <v>7</v>
      </c>
      <c r="T545" s="174">
        <f t="shared" si="166"/>
        <v>549</v>
      </c>
      <c r="U545" s="174">
        <f t="shared" si="166"/>
        <v>0</v>
      </c>
      <c r="V545" s="174">
        <f t="shared" si="166"/>
        <v>9</v>
      </c>
      <c r="W545" s="174">
        <f t="shared" si="166"/>
        <v>0</v>
      </c>
      <c r="X545" s="174">
        <f t="shared" si="166"/>
        <v>263</v>
      </c>
      <c r="Y545" s="174">
        <f t="shared" si="166"/>
        <v>0</v>
      </c>
      <c r="AQ545" s="3"/>
    </row>
    <row r="546" spans="5:43" x14ac:dyDescent="0.25">
      <c r="E546" s="124"/>
      <c r="F546" s="2" t="s">
        <v>970</v>
      </c>
      <c r="G546" t="s">
        <v>212</v>
      </c>
      <c r="J546" s="198">
        <f>J70</f>
        <v>1860265</v>
      </c>
      <c r="K546" s="198">
        <f t="shared" ref="K546:Y546" si="167">K70</f>
        <v>0</v>
      </c>
      <c r="L546" s="198">
        <f t="shared" si="167"/>
        <v>45050</v>
      </c>
      <c r="M546" s="198">
        <f t="shared" si="167"/>
        <v>0</v>
      </c>
      <c r="N546" s="198">
        <f t="shared" si="167"/>
        <v>4569</v>
      </c>
      <c r="O546" s="198">
        <f t="shared" si="167"/>
        <v>9</v>
      </c>
      <c r="P546" s="198">
        <f t="shared" si="167"/>
        <v>348</v>
      </c>
      <c r="Q546" s="198">
        <f t="shared" si="167"/>
        <v>4855</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971</v>
      </c>
      <c r="G547" t="s">
        <v>212</v>
      </c>
      <c r="J547" s="198">
        <f>J79</f>
        <v>0</v>
      </c>
      <c r="K547" s="198">
        <f t="shared" ref="K547:Y547" si="168">K79</f>
        <v>0</v>
      </c>
      <c r="L547" s="198">
        <f t="shared" si="168"/>
        <v>37112</v>
      </c>
      <c r="M547" s="198">
        <f t="shared" si="168"/>
        <v>0</v>
      </c>
      <c r="N547" s="198">
        <f t="shared" si="168"/>
        <v>3810</v>
      </c>
      <c r="O547" s="198">
        <f t="shared" si="168"/>
        <v>23</v>
      </c>
      <c r="P547" s="198">
        <f t="shared" si="168"/>
        <v>401</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973</v>
      </c>
      <c r="G548" t="s">
        <v>212</v>
      </c>
      <c r="J548" s="145">
        <f>J88</f>
        <v>0</v>
      </c>
      <c r="K548" s="145">
        <f t="shared" ref="K548:Y548" si="169">K88</f>
        <v>0</v>
      </c>
      <c r="L548" s="145">
        <f t="shared" si="169"/>
        <v>20997</v>
      </c>
      <c r="M548" s="145">
        <f t="shared" si="169"/>
        <v>0</v>
      </c>
      <c r="N548" s="145">
        <f t="shared" si="169"/>
        <v>1287</v>
      </c>
      <c r="O548" s="145">
        <f t="shared" si="169"/>
        <v>42</v>
      </c>
      <c r="P548" s="145">
        <f t="shared" si="169"/>
        <v>180</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972</v>
      </c>
      <c r="G549" t="s">
        <v>212</v>
      </c>
      <c r="J549" s="145">
        <f>J97</f>
        <v>0</v>
      </c>
      <c r="K549" s="145">
        <f t="shared" ref="K549:Y549" si="170">K97</f>
        <v>0</v>
      </c>
      <c r="L549" s="145">
        <f t="shared" si="170"/>
        <v>21920</v>
      </c>
      <c r="M549" s="145">
        <f t="shared" si="170"/>
        <v>0</v>
      </c>
      <c r="N549" s="145">
        <f t="shared" si="170"/>
        <v>1582</v>
      </c>
      <c r="O549" s="145">
        <f t="shared" si="170"/>
        <v>208</v>
      </c>
      <c r="P549" s="145">
        <f t="shared" si="170"/>
        <v>205</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250</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969</v>
      </c>
      <c r="G551" t="s">
        <v>251</v>
      </c>
      <c r="J551" s="174">
        <f>J62</f>
        <v>0</v>
      </c>
      <c r="K551" s="174">
        <f t="shared" ref="K551:Y551" si="171">K62</f>
        <v>0</v>
      </c>
      <c r="L551" s="174">
        <f t="shared" si="171"/>
        <v>0</v>
      </c>
      <c r="M551" s="174">
        <f t="shared" si="171"/>
        <v>0</v>
      </c>
      <c r="N551" s="174">
        <f t="shared" si="171"/>
        <v>992</v>
      </c>
      <c r="O551" s="174">
        <f t="shared" si="171"/>
        <v>8</v>
      </c>
      <c r="P551" s="174">
        <f t="shared" si="171"/>
        <v>14725</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970</v>
      </c>
      <c r="G552" t="s">
        <v>251</v>
      </c>
      <c r="J552" s="198">
        <f>J71</f>
        <v>0</v>
      </c>
      <c r="K552" s="198">
        <f t="shared" ref="K552:Y552" si="172">K71</f>
        <v>0</v>
      </c>
      <c r="L552" s="198">
        <f t="shared" si="172"/>
        <v>0</v>
      </c>
      <c r="M552" s="198">
        <f t="shared" si="172"/>
        <v>0</v>
      </c>
      <c r="N552" s="198">
        <f t="shared" si="172"/>
        <v>255295</v>
      </c>
      <c r="O552" s="198">
        <f t="shared" si="172"/>
        <v>456</v>
      </c>
      <c r="P552" s="198">
        <f t="shared" si="172"/>
        <v>71484</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971</v>
      </c>
      <c r="G553" t="s">
        <v>251</v>
      </c>
      <c r="J553" s="198">
        <f>J80</f>
        <v>0</v>
      </c>
      <c r="K553" s="198">
        <f t="shared" ref="K553:Y553" si="173">K80</f>
        <v>0</v>
      </c>
      <c r="L553" s="198">
        <f t="shared" si="173"/>
        <v>0</v>
      </c>
      <c r="M553" s="198">
        <f t="shared" si="173"/>
        <v>0</v>
      </c>
      <c r="N553" s="198">
        <f t="shared" si="173"/>
        <v>427058</v>
      </c>
      <c r="O553" s="198">
        <f t="shared" si="173"/>
        <v>2620</v>
      </c>
      <c r="P553" s="198">
        <f t="shared" si="173"/>
        <v>278962</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973</v>
      </c>
      <c r="G554" t="s">
        <v>251</v>
      </c>
      <c r="J554" s="145">
        <f>J89</f>
        <v>0</v>
      </c>
      <c r="K554" s="145">
        <f t="shared" ref="K554:Y554" si="174">K89</f>
        <v>0</v>
      </c>
      <c r="L554" s="145">
        <f t="shared" si="174"/>
        <v>0</v>
      </c>
      <c r="M554" s="145">
        <f t="shared" si="174"/>
        <v>0</v>
      </c>
      <c r="N554" s="145">
        <f t="shared" si="174"/>
        <v>238424</v>
      </c>
      <c r="O554" s="145">
        <f t="shared" si="174"/>
        <v>8152</v>
      </c>
      <c r="P554" s="145">
        <f t="shared" si="174"/>
        <v>245287</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972</v>
      </c>
      <c r="G555" t="s">
        <v>251</v>
      </c>
      <c r="J555" s="145">
        <f>J98</f>
        <v>0</v>
      </c>
      <c r="K555" s="145">
        <f t="shared" ref="K555:Y555" si="175">K98</f>
        <v>0</v>
      </c>
      <c r="L555" s="145">
        <f t="shared" si="175"/>
        <v>0</v>
      </c>
      <c r="M555" s="145">
        <f t="shared" si="175"/>
        <v>0</v>
      </c>
      <c r="N555" s="145">
        <f t="shared" si="175"/>
        <v>618955</v>
      </c>
      <c r="O555" s="145">
        <f t="shared" si="175"/>
        <v>98526</v>
      </c>
      <c r="P555" s="145">
        <f t="shared" si="175"/>
        <v>708459</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252</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969</v>
      </c>
      <c r="G557" t="s">
        <v>251</v>
      </c>
      <c r="J557" s="174">
        <f>J63</f>
        <v>0</v>
      </c>
      <c r="K557" s="174">
        <f t="shared" ref="K557:Y557" si="176">K63</f>
        <v>0</v>
      </c>
      <c r="L557" s="174">
        <f t="shared" si="176"/>
        <v>0</v>
      </c>
      <c r="M557" s="174">
        <f t="shared" si="176"/>
        <v>0</v>
      </c>
      <c r="N557" s="174">
        <f t="shared" si="176"/>
        <v>23.583333333333332</v>
      </c>
      <c r="O557" s="174">
        <f t="shared" si="176"/>
        <v>10.416666666666666</v>
      </c>
      <c r="P557" s="174">
        <f t="shared" si="176"/>
        <v>1297.6666666666667</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970</v>
      </c>
      <c r="G558" t="s">
        <v>251</v>
      </c>
      <c r="J558" s="198">
        <f>J72</f>
        <v>0</v>
      </c>
      <c r="K558" s="198">
        <f t="shared" ref="K558:Y558" si="177">K72</f>
        <v>0</v>
      </c>
      <c r="L558" s="198">
        <f t="shared" si="177"/>
        <v>0</v>
      </c>
      <c r="M558" s="198">
        <f t="shared" si="177"/>
        <v>0</v>
      </c>
      <c r="N558" s="198">
        <f t="shared" si="177"/>
        <v>12629.416666666668</v>
      </c>
      <c r="O558" s="198">
        <f t="shared" si="177"/>
        <v>310.16666666666663</v>
      </c>
      <c r="P558" s="198">
        <f t="shared" si="177"/>
        <v>4117.416666666667</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971</v>
      </c>
      <c r="G559" t="s">
        <v>251</v>
      </c>
      <c r="J559" s="198">
        <f>J81</f>
        <v>0</v>
      </c>
      <c r="K559" s="198">
        <f t="shared" ref="K559:Y559" si="178">K81</f>
        <v>0</v>
      </c>
      <c r="L559" s="198">
        <f t="shared" si="178"/>
        <v>0</v>
      </c>
      <c r="M559" s="198">
        <f t="shared" si="178"/>
        <v>0</v>
      </c>
      <c r="N559" s="198">
        <f t="shared" si="178"/>
        <v>6636.25</v>
      </c>
      <c r="O559" s="198">
        <f t="shared" si="178"/>
        <v>240.66666666666666</v>
      </c>
      <c r="P559" s="198">
        <f t="shared" si="178"/>
        <v>1776.0833333333335</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973</v>
      </c>
      <c r="G560" t="s">
        <v>251</v>
      </c>
      <c r="J560" s="145">
        <f>J90</f>
        <v>0</v>
      </c>
      <c r="K560" s="145">
        <f t="shared" ref="K560:Y560" si="179">K90</f>
        <v>0</v>
      </c>
      <c r="L560" s="145">
        <f t="shared" si="179"/>
        <v>0</v>
      </c>
      <c r="M560" s="145">
        <f t="shared" si="179"/>
        <v>0</v>
      </c>
      <c r="N560" s="145">
        <f t="shared" si="179"/>
        <v>1211.1666666666667</v>
      </c>
      <c r="O560" s="145">
        <f t="shared" si="179"/>
        <v>59.583333333333336</v>
      </c>
      <c r="P560" s="145">
        <f t="shared" si="179"/>
        <v>1505.75</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972</v>
      </c>
      <c r="G561" t="s">
        <v>251</v>
      </c>
      <c r="J561" s="145">
        <f>J99</f>
        <v>0</v>
      </c>
      <c r="K561" s="145">
        <f t="shared" ref="K561:Y561" si="180">K99</f>
        <v>0</v>
      </c>
      <c r="L561" s="145">
        <f t="shared" si="180"/>
        <v>0</v>
      </c>
      <c r="M561" s="145">
        <f t="shared" si="180"/>
        <v>0</v>
      </c>
      <c r="N561" s="145">
        <f t="shared" si="180"/>
        <v>1702.5833333333335</v>
      </c>
      <c r="O561" s="145">
        <f t="shared" si="180"/>
        <v>348.83333333333331</v>
      </c>
      <c r="P561" s="145">
        <f t="shared" si="180"/>
        <v>3677.916666666667</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253</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969</v>
      </c>
      <c r="G563" t="s">
        <v>254</v>
      </c>
      <c r="J563" s="174">
        <f>J64</f>
        <v>0</v>
      </c>
      <c r="K563" s="174">
        <f t="shared" ref="K563:Y563" si="181">K64</f>
        <v>0</v>
      </c>
      <c r="L563" s="174">
        <f t="shared" si="181"/>
        <v>0</v>
      </c>
      <c r="M563" s="174">
        <f t="shared" si="181"/>
        <v>0</v>
      </c>
      <c r="N563" s="174">
        <f t="shared" si="181"/>
        <v>57.555</v>
      </c>
      <c r="O563" s="174">
        <f t="shared" si="181"/>
        <v>2.9279999999999999</v>
      </c>
      <c r="P563" s="174">
        <f t="shared" si="181"/>
        <v>1841.1489999999999</v>
      </c>
      <c r="Q563" s="174">
        <f t="shared" si="181"/>
        <v>0</v>
      </c>
      <c r="R563" s="174">
        <f t="shared" si="181"/>
        <v>0</v>
      </c>
      <c r="S563" s="174">
        <f t="shared" si="181"/>
        <v>0</v>
      </c>
      <c r="T563" s="174">
        <f t="shared" si="181"/>
        <v>6086.3360000000011</v>
      </c>
      <c r="U563" s="174">
        <f t="shared" si="181"/>
        <v>0</v>
      </c>
      <c r="V563" s="174">
        <f t="shared" si="181"/>
        <v>184.05</v>
      </c>
      <c r="W563" s="174">
        <f t="shared" si="181"/>
        <v>0</v>
      </c>
      <c r="X563" s="174">
        <f t="shared" si="181"/>
        <v>18732.55</v>
      </c>
      <c r="Y563" s="174">
        <f t="shared" si="181"/>
        <v>0</v>
      </c>
      <c r="AQ563" s="3"/>
    </row>
    <row r="564" spans="4:43" x14ac:dyDescent="0.25">
      <c r="E564" s="124"/>
      <c r="F564" s="2" t="s">
        <v>970</v>
      </c>
      <c r="G564" t="s">
        <v>254</v>
      </c>
      <c r="J564" s="198">
        <f>J73</f>
        <v>0</v>
      </c>
      <c r="K564" s="198">
        <f t="shared" ref="K564:Y564" si="182">K73</f>
        <v>0</v>
      </c>
      <c r="L564" s="198">
        <f t="shared" si="182"/>
        <v>0</v>
      </c>
      <c r="M564" s="198">
        <f t="shared" si="182"/>
        <v>0</v>
      </c>
      <c r="N564" s="198">
        <f t="shared" si="182"/>
        <v>46848.589</v>
      </c>
      <c r="O564" s="198">
        <f t="shared" si="182"/>
        <v>657.54399999999998</v>
      </c>
      <c r="P564" s="198">
        <f t="shared" si="182"/>
        <v>21709.762999999999</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971</v>
      </c>
      <c r="G565" t="s">
        <v>254</v>
      </c>
      <c r="J565" s="198">
        <f>J82</f>
        <v>0</v>
      </c>
      <c r="K565" s="198">
        <f t="shared" ref="K565:Y565" si="183">K82</f>
        <v>0</v>
      </c>
      <c r="L565" s="198">
        <f t="shared" si="183"/>
        <v>0</v>
      </c>
      <c r="M565" s="198">
        <f t="shared" si="183"/>
        <v>0</v>
      </c>
      <c r="N565" s="198">
        <f t="shared" si="183"/>
        <v>57512.046000000002</v>
      </c>
      <c r="O565" s="198">
        <f t="shared" si="183"/>
        <v>552.947</v>
      </c>
      <c r="P565" s="198">
        <f t="shared" si="183"/>
        <v>33920.678999999996</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973</v>
      </c>
      <c r="G566" t="s">
        <v>254</v>
      </c>
      <c r="J566" s="145">
        <f>J91</f>
        <v>0</v>
      </c>
      <c r="K566" s="145">
        <f t="shared" ref="K566:Y566" si="184">K91</f>
        <v>0</v>
      </c>
      <c r="L566" s="145">
        <f t="shared" si="184"/>
        <v>0</v>
      </c>
      <c r="M566" s="145">
        <f t="shared" si="184"/>
        <v>0</v>
      </c>
      <c r="N566" s="145">
        <f t="shared" si="184"/>
        <v>30747.198</v>
      </c>
      <c r="O566" s="145">
        <f t="shared" si="184"/>
        <v>2099.2820000000002</v>
      </c>
      <c r="P566" s="145">
        <f t="shared" si="184"/>
        <v>30634.602999999999</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972</v>
      </c>
      <c r="G567" s="91" t="s">
        <v>254</v>
      </c>
      <c r="H567" s="91"/>
      <c r="I567" s="91"/>
      <c r="J567" s="198">
        <f>J100</f>
        <v>0</v>
      </c>
      <c r="K567" s="198">
        <f t="shared" ref="K567:Y567" si="185">K100</f>
        <v>0</v>
      </c>
      <c r="L567" s="198">
        <f t="shared" si="185"/>
        <v>0</v>
      </c>
      <c r="M567" s="198">
        <f t="shared" si="185"/>
        <v>0</v>
      </c>
      <c r="N567" s="198">
        <f t="shared" si="185"/>
        <v>80417.395999999993</v>
      </c>
      <c r="O567" s="198">
        <f t="shared" si="185"/>
        <v>17471.467000000001</v>
      </c>
      <c r="P567" s="198">
        <f t="shared" si="185"/>
        <v>131681.10200000001</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1122</v>
      </c>
      <c r="AQ569" s="3"/>
    </row>
    <row r="570" spans="4:43" x14ac:dyDescent="0.25">
      <c r="E570" s="111" t="s">
        <v>247</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969</v>
      </c>
      <c r="G571" t="s">
        <v>207</v>
      </c>
      <c r="J571" s="174">
        <f>J105</f>
        <v>0</v>
      </c>
      <c r="K571" s="174">
        <f t="shared" ref="K571:Y571" si="186">K105</f>
        <v>1.5478688524590165</v>
      </c>
      <c r="L571" s="174">
        <f t="shared" si="186"/>
        <v>0</v>
      </c>
      <c r="M571" s="174">
        <f t="shared" si="186"/>
        <v>0</v>
      </c>
      <c r="N571" s="174">
        <f t="shared" si="186"/>
        <v>0</v>
      </c>
      <c r="O571" s="174">
        <f t="shared" si="186"/>
        <v>0</v>
      </c>
      <c r="P571" s="174">
        <f t="shared" si="186"/>
        <v>0</v>
      </c>
      <c r="Q571" s="174">
        <f t="shared" si="186"/>
        <v>0</v>
      </c>
      <c r="R571" s="174">
        <f t="shared" si="186"/>
        <v>615.75443298228117</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970</v>
      </c>
      <c r="G572" t="s">
        <v>207</v>
      </c>
      <c r="J572" s="198">
        <f>J114</f>
        <v>20800.944795377112</v>
      </c>
      <c r="K572" s="198">
        <f t="shared" ref="K572:Y572" si="187">K114</f>
        <v>0</v>
      </c>
      <c r="L572" s="198">
        <f t="shared" si="187"/>
        <v>171.93370777999971</v>
      </c>
      <c r="M572" s="198">
        <f t="shared" si="187"/>
        <v>0</v>
      </c>
      <c r="N572" s="198">
        <f t="shared" si="187"/>
        <v>273.19500000000005</v>
      </c>
      <c r="O572" s="198">
        <f t="shared" si="187"/>
        <v>0</v>
      </c>
      <c r="P572" s="198">
        <f t="shared" si="187"/>
        <v>0</v>
      </c>
      <c r="Q572" s="198">
        <f t="shared" si="187"/>
        <v>22.985167530544242</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971</v>
      </c>
      <c r="G573" t="s">
        <v>207</v>
      </c>
      <c r="J573" s="198">
        <f>J123</f>
        <v>0</v>
      </c>
      <c r="K573" s="198">
        <f t="shared" ref="K573:Y573" si="188">K123</f>
        <v>0</v>
      </c>
      <c r="L573" s="198">
        <f t="shared" si="188"/>
        <v>238.96571269020731</v>
      </c>
      <c r="M573" s="198">
        <f t="shared" si="188"/>
        <v>0</v>
      </c>
      <c r="N573" s="198">
        <f t="shared" si="188"/>
        <v>526.68299999999999</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973</v>
      </c>
      <c r="G574" t="s">
        <v>207</v>
      </c>
      <c r="J574" s="145">
        <f>J132</f>
        <v>0</v>
      </c>
      <c r="K574" s="145">
        <f t="shared" ref="K574:Y574" si="189">K132</f>
        <v>0</v>
      </c>
      <c r="L574" s="145">
        <f t="shared" si="189"/>
        <v>158.34764941383807</v>
      </c>
      <c r="M574" s="145">
        <f t="shared" si="189"/>
        <v>0</v>
      </c>
      <c r="N574" s="145">
        <f t="shared" si="189"/>
        <v>1094.922</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972</v>
      </c>
      <c r="G575" t="s">
        <v>207</v>
      </c>
      <c r="J575" s="145">
        <f>J141</f>
        <v>0</v>
      </c>
      <c r="K575" s="145">
        <f t="shared" ref="K575:Y575" si="190">K141</f>
        <v>0</v>
      </c>
      <c r="L575" s="145">
        <f t="shared" si="190"/>
        <v>257.98268154216731</v>
      </c>
      <c r="M575" s="145">
        <f t="shared" si="190"/>
        <v>0</v>
      </c>
      <c r="N575" s="145">
        <f t="shared" si="190"/>
        <v>338.16999999999996</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248</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969</v>
      </c>
      <c r="G577" t="s">
        <v>207</v>
      </c>
      <c r="J577" s="174">
        <f>J106</f>
        <v>0</v>
      </c>
      <c r="K577" s="174">
        <f t="shared" ref="K577:Y577" si="191">K106</f>
        <v>27.072885245901642</v>
      </c>
      <c r="L577" s="174">
        <f t="shared" si="191"/>
        <v>0</v>
      </c>
      <c r="M577" s="174">
        <f t="shared" si="191"/>
        <v>0</v>
      </c>
      <c r="N577" s="174">
        <f t="shared" si="191"/>
        <v>0</v>
      </c>
      <c r="O577" s="174">
        <f t="shared" si="191"/>
        <v>0</v>
      </c>
      <c r="P577" s="174">
        <f t="shared" si="191"/>
        <v>0</v>
      </c>
      <c r="Q577" s="174">
        <f t="shared" si="191"/>
        <v>0</v>
      </c>
      <c r="R577" s="174">
        <f t="shared" si="191"/>
        <v>3480.0674308284702</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970</v>
      </c>
      <c r="G578" t="s">
        <v>207</v>
      </c>
      <c r="J578" s="198">
        <f>J115</f>
        <v>76551.123397066825</v>
      </c>
      <c r="K578" s="198">
        <f t="shared" ref="K578:Y578" si="192">K115</f>
        <v>0</v>
      </c>
      <c r="L578" s="198">
        <f t="shared" si="192"/>
        <v>890.32175082953381</v>
      </c>
      <c r="M578" s="198">
        <f t="shared" si="192"/>
        <v>0</v>
      </c>
      <c r="N578" s="198">
        <f t="shared" si="192"/>
        <v>1365.367</v>
      </c>
      <c r="O578" s="198">
        <f t="shared" si="192"/>
        <v>0</v>
      </c>
      <c r="P578" s="198">
        <f t="shared" si="192"/>
        <v>0</v>
      </c>
      <c r="Q578" s="198">
        <f t="shared" si="192"/>
        <v>327.55783312906374</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971</v>
      </c>
      <c r="G579" t="s">
        <v>207</v>
      </c>
      <c r="J579" s="198">
        <f>J124</f>
        <v>0</v>
      </c>
      <c r="K579" s="198">
        <f t="shared" ref="K579:Y579" si="193">K124</f>
        <v>0</v>
      </c>
      <c r="L579" s="198">
        <f t="shared" si="193"/>
        <v>1237.4936491473559</v>
      </c>
      <c r="M579" s="198">
        <f t="shared" si="193"/>
        <v>0</v>
      </c>
      <c r="N579" s="198">
        <f t="shared" si="193"/>
        <v>2437.8400000000006</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973</v>
      </c>
      <c r="G580" t="s">
        <v>207</v>
      </c>
      <c r="J580" s="145">
        <f>J133</f>
        <v>0</v>
      </c>
      <c r="K580" s="145">
        <f t="shared" ref="K580:Y580" si="194">K133</f>
        <v>0</v>
      </c>
      <c r="L580" s="145">
        <f t="shared" si="194"/>
        <v>824.82480682068524</v>
      </c>
      <c r="M580" s="145">
        <f t="shared" si="194"/>
        <v>0</v>
      </c>
      <c r="N580" s="145">
        <f t="shared" si="194"/>
        <v>4787.7110000000002</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972</v>
      </c>
      <c r="G581" t="s">
        <v>207</v>
      </c>
      <c r="J581" s="145">
        <f>J142</f>
        <v>0</v>
      </c>
      <c r="K581" s="145">
        <f t="shared" ref="K581:Y581" si="195">K142</f>
        <v>0</v>
      </c>
      <c r="L581" s="145">
        <f t="shared" si="195"/>
        <v>1331.4089514678299</v>
      </c>
      <c r="M581" s="145">
        <f t="shared" si="195"/>
        <v>0</v>
      </c>
      <c r="N581" s="145">
        <f t="shared" si="195"/>
        <v>1509.8209999999999</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249</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969</v>
      </c>
      <c r="G583" t="s">
        <v>207</v>
      </c>
      <c r="J583" s="174">
        <f>J107</f>
        <v>0</v>
      </c>
      <c r="K583" s="174">
        <f t="shared" ref="K583:Y583" si="196">K107</f>
        <v>137.73013114754099</v>
      </c>
      <c r="L583" s="174">
        <f t="shared" si="196"/>
        <v>0</v>
      </c>
      <c r="M583" s="174">
        <f t="shared" si="196"/>
        <v>0</v>
      </c>
      <c r="N583" s="174">
        <f t="shared" si="196"/>
        <v>0</v>
      </c>
      <c r="O583" s="174">
        <f t="shared" si="196"/>
        <v>0</v>
      </c>
      <c r="P583" s="174">
        <f t="shared" si="196"/>
        <v>0</v>
      </c>
      <c r="Q583" s="174">
        <f t="shared" si="196"/>
        <v>0</v>
      </c>
      <c r="R583" s="174">
        <f t="shared" si="196"/>
        <v>1554.6667235714485</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970</v>
      </c>
      <c r="G584" t="s">
        <v>207</v>
      </c>
      <c r="J584" s="198">
        <f>J116</f>
        <v>66125.185859945428</v>
      </c>
      <c r="K584" s="198">
        <f t="shared" ref="K584:Y584" si="197">K116</f>
        <v>0</v>
      </c>
      <c r="L584" s="198">
        <f t="shared" si="197"/>
        <v>695.67973786125947</v>
      </c>
      <c r="M584" s="198">
        <f t="shared" si="197"/>
        <v>0</v>
      </c>
      <c r="N584" s="198">
        <f t="shared" si="197"/>
        <v>1972.5240000000003</v>
      </c>
      <c r="O584" s="198">
        <f t="shared" si="197"/>
        <v>0</v>
      </c>
      <c r="P584" s="198">
        <f t="shared" si="197"/>
        <v>0</v>
      </c>
      <c r="Q584" s="198">
        <f t="shared" si="197"/>
        <v>357.92923139806027</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971</v>
      </c>
      <c r="G585" t="s">
        <v>207</v>
      </c>
      <c r="J585" s="198">
        <f>J125</f>
        <v>0</v>
      </c>
      <c r="K585" s="198">
        <f t="shared" ref="K585:Y585" si="198">K125</f>
        <v>0</v>
      </c>
      <c r="L585" s="198">
        <f t="shared" si="198"/>
        <v>968.95806960186758</v>
      </c>
      <c r="M585" s="198">
        <f t="shared" si="198"/>
        <v>0</v>
      </c>
      <c r="N585" s="198">
        <f t="shared" si="198"/>
        <v>1967.1180000000002</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973</v>
      </c>
      <c r="G586" t="s">
        <v>207</v>
      </c>
      <c r="J586" s="145">
        <f>J134</f>
        <v>0</v>
      </c>
      <c r="K586" s="145">
        <f t="shared" ref="K586:Y586" si="199">K134</f>
        <v>0</v>
      </c>
      <c r="L586" s="145">
        <f t="shared" si="199"/>
        <v>652.901635084708</v>
      </c>
      <c r="M586" s="145">
        <f t="shared" si="199"/>
        <v>0</v>
      </c>
      <c r="N586" s="145">
        <f t="shared" si="199"/>
        <v>4540.0029999999997</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972</v>
      </c>
      <c r="G587" t="s">
        <v>207</v>
      </c>
      <c r="J587" s="145">
        <f>J143</f>
        <v>0</v>
      </c>
      <c r="K587" s="145">
        <f t="shared" ref="K587:Y587" si="200">K143</f>
        <v>0</v>
      </c>
      <c r="L587" s="145">
        <f t="shared" si="200"/>
        <v>1049.2257584326837</v>
      </c>
      <c r="M587" s="145">
        <f t="shared" si="200"/>
        <v>0</v>
      </c>
      <c r="N587" s="145">
        <f t="shared" si="200"/>
        <v>1369.2670000000001</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212</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969</v>
      </c>
      <c r="G589" t="s">
        <v>212</v>
      </c>
      <c r="J589" s="174">
        <f>J108</f>
        <v>0</v>
      </c>
      <c r="K589" s="174">
        <f t="shared" ref="K589:Y589" si="201">K108</f>
        <v>60</v>
      </c>
      <c r="L589" s="174">
        <f t="shared" si="201"/>
        <v>0</v>
      </c>
      <c r="M589" s="174">
        <f t="shared" si="201"/>
        <v>0</v>
      </c>
      <c r="N589" s="174">
        <f t="shared" si="201"/>
        <v>0</v>
      </c>
      <c r="O589" s="174">
        <f t="shared" si="201"/>
        <v>0</v>
      </c>
      <c r="P589" s="174">
        <f t="shared" si="201"/>
        <v>0</v>
      </c>
      <c r="Q589" s="174">
        <f t="shared" si="201"/>
        <v>0</v>
      </c>
      <c r="R589" s="174">
        <f t="shared" si="201"/>
        <v>279</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970</v>
      </c>
      <c r="G590" t="s">
        <v>212</v>
      </c>
      <c r="J590" s="198">
        <f>J117</f>
        <v>59513</v>
      </c>
      <c r="K590" s="198">
        <f t="shared" ref="K590:Y590" si="202">K117</f>
        <v>0</v>
      </c>
      <c r="L590" s="198">
        <f t="shared" si="202"/>
        <v>687</v>
      </c>
      <c r="M590" s="198">
        <f t="shared" si="202"/>
        <v>0</v>
      </c>
      <c r="N590" s="198">
        <f t="shared" si="202"/>
        <v>38</v>
      </c>
      <c r="O590" s="198">
        <f t="shared" si="202"/>
        <v>0</v>
      </c>
      <c r="P590" s="198">
        <f t="shared" si="202"/>
        <v>0</v>
      </c>
      <c r="Q590" s="198">
        <f t="shared" si="202"/>
        <v>84</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971</v>
      </c>
      <c r="G591" t="s">
        <v>212</v>
      </c>
      <c r="J591" s="198">
        <f>J126</f>
        <v>0</v>
      </c>
      <c r="K591" s="198">
        <f t="shared" ref="K591:Y591" si="203">K126</f>
        <v>0</v>
      </c>
      <c r="L591" s="198">
        <f t="shared" si="203"/>
        <v>368</v>
      </c>
      <c r="M591" s="198">
        <f t="shared" si="203"/>
        <v>0</v>
      </c>
      <c r="N591" s="198">
        <f t="shared" si="203"/>
        <v>47</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973</v>
      </c>
      <c r="G592" t="s">
        <v>212</v>
      </c>
      <c r="J592" s="145">
        <f>J135</f>
        <v>0</v>
      </c>
      <c r="K592" s="145">
        <f t="shared" ref="K592:Y592" si="204">K135</f>
        <v>0</v>
      </c>
      <c r="L592" s="145">
        <f t="shared" si="204"/>
        <v>166</v>
      </c>
      <c r="M592" s="145">
        <f t="shared" si="204"/>
        <v>0</v>
      </c>
      <c r="N592" s="145">
        <f t="shared" si="204"/>
        <v>44</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972</v>
      </c>
      <c r="G593" t="s">
        <v>212</v>
      </c>
      <c r="J593" s="145">
        <f>J144</f>
        <v>0</v>
      </c>
      <c r="K593" s="145">
        <f t="shared" ref="K593:Y593" si="205">K144</f>
        <v>0</v>
      </c>
      <c r="L593" s="145">
        <f t="shared" si="205"/>
        <v>107</v>
      </c>
      <c r="M593" s="145">
        <f t="shared" si="205"/>
        <v>0</v>
      </c>
      <c r="N593" s="145">
        <f t="shared" si="205"/>
        <v>17</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250</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969</v>
      </c>
      <c r="G595" t="s">
        <v>251</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970</v>
      </c>
      <c r="G596" t="s">
        <v>251</v>
      </c>
      <c r="J596" s="198">
        <f>J118</f>
        <v>0</v>
      </c>
      <c r="K596" s="198">
        <f t="shared" ref="K596:Y596" si="207">K118</f>
        <v>0</v>
      </c>
      <c r="L596" s="198">
        <f t="shared" si="207"/>
        <v>0</v>
      </c>
      <c r="M596" s="198">
        <f t="shared" si="207"/>
        <v>0</v>
      </c>
      <c r="N596" s="198">
        <f t="shared" si="207"/>
        <v>2089</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971</v>
      </c>
      <c r="G597" t="s">
        <v>251</v>
      </c>
      <c r="J597" s="198">
        <f>J127</f>
        <v>0</v>
      </c>
      <c r="K597" s="198">
        <f t="shared" ref="K597:Y597" si="208">K127</f>
        <v>0</v>
      </c>
      <c r="L597" s="198">
        <f t="shared" si="208"/>
        <v>0</v>
      </c>
      <c r="M597" s="198">
        <f t="shared" si="208"/>
        <v>0</v>
      </c>
      <c r="N597" s="198">
        <f t="shared" si="208"/>
        <v>5053</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973</v>
      </c>
      <c r="G598" t="s">
        <v>251</v>
      </c>
      <c r="J598" s="145">
        <f>J136</f>
        <v>0</v>
      </c>
      <c r="K598" s="145">
        <f t="shared" ref="K598:Y598" si="209">K136</f>
        <v>0</v>
      </c>
      <c r="L598" s="145">
        <f t="shared" si="209"/>
        <v>0</v>
      </c>
      <c r="M598" s="145">
        <f t="shared" si="209"/>
        <v>0</v>
      </c>
      <c r="N598" s="145">
        <f t="shared" si="209"/>
        <v>8135</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972</v>
      </c>
      <c r="G599" t="s">
        <v>251</v>
      </c>
      <c r="J599" s="145">
        <f>J145</f>
        <v>0</v>
      </c>
      <c r="K599" s="145">
        <f t="shared" ref="K599:Y599" si="210">K145</f>
        <v>0</v>
      </c>
      <c r="L599" s="145">
        <f t="shared" si="210"/>
        <v>0</v>
      </c>
      <c r="M599" s="145">
        <f t="shared" si="210"/>
        <v>0</v>
      </c>
      <c r="N599" s="145">
        <f t="shared" si="210"/>
        <v>7497</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252</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969</v>
      </c>
      <c r="G601" t="s">
        <v>251</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970</v>
      </c>
      <c r="G602" t="s">
        <v>251</v>
      </c>
      <c r="J602" s="198">
        <f>J119</f>
        <v>0</v>
      </c>
      <c r="K602" s="198">
        <f t="shared" ref="K602:Y602" si="212">K119</f>
        <v>0</v>
      </c>
      <c r="L602" s="198">
        <f t="shared" si="212"/>
        <v>0</v>
      </c>
      <c r="M602" s="198">
        <f t="shared" si="212"/>
        <v>0</v>
      </c>
      <c r="N602" s="198">
        <f t="shared" si="212"/>
        <v>1519</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971</v>
      </c>
      <c r="G603" t="s">
        <v>251</v>
      </c>
      <c r="J603" s="198">
        <f>J128</f>
        <v>0</v>
      </c>
      <c r="K603" s="198">
        <f t="shared" ref="K603:Y603" si="213">K128</f>
        <v>0</v>
      </c>
      <c r="L603" s="198">
        <f t="shared" si="213"/>
        <v>0</v>
      </c>
      <c r="M603" s="198">
        <f t="shared" si="213"/>
        <v>0</v>
      </c>
      <c r="N603" s="198">
        <f t="shared" si="213"/>
        <v>0</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973</v>
      </c>
      <c r="G604" t="s">
        <v>251</v>
      </c>
      <c r="J604" s="145">
        <f>J137</f>
        <v>0</v>
      </c>
      <c r="K604" s="145">
        <f t="shared" ref="K604:Y604" si="214">K137</f>
        <v>0</v>
      </c>
      <c r="L604" s="145">
        <f t="shared" si="214"/>
        <v>0</v>
      </c>
      <c r="M604" s="145">
        <f t="shared" si="214"/>
        <v>0</v>
      </c>
      <c r="N604" s="145">
        <f t="shared" si="214"/>
        <v>0</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972</v>
      </c>
      <c r="G605" t="s">
        <v>251</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253</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969</v>
      </c>
      <c r="G607" t="s">
        <v>254</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970</v>
      </c>
      <c r="G608" t="s">
        <v>254</v>
      </c>
      <c r="J608" s="198">
        <f>J120</f>
        <v>0</v>
      </c>
      <c r="K608" s="198">
        <f t="shared" ref="K608:Y608" si="217">K120</f>
        <v>0</v>
      </c>
      <c r="L608" s="198">
        <f t="shared" si="217"/>
        <v>0</v>
      </c>
      <c r="M608" s="198">
        <f t="shared" si="217"/>
        <v>0</v>
      </c>
      <c r="N608" s="198">
        <f t="shared" si="217"/>
        <v>317.90800000000002</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971</v>
      </c>
      <c r="G609" t="s">
        <v>254</v>
      </c>
      <c r="J609" s="198">
        <f>J129</f>
        <v>0</v>
      </c>
      <c r="K609" s="198">
        <f t="shared" ref="K609:Y609" si="218">K129</f>
        <v>0</v>
      </c>
      <c r="L609" s="198">
        <f t="shared" si="218"/>
        <v>0</v>
      </c>
      <c r="M609" s="198">
        <f t="shared" si="218"/>
        <v>0</v>
      </c>
      <c r="N609" s="198">
        <f t="shared" si="218"/>
        <v>610.47</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973</v>
      </c>
      <c r="G610" t="s">
        <v>254</v>
      </c>
      <c r="J610" s="145">
        <f>J138</f>
        <v>0</v>
      </c>
      <c r="K610" s="145">
        <f t="shared" ref="K610:Y610" si="219">K138</f>
        <v>0</v>
      </c>
      <c r="L610" s="145">
        <f t="shared" si="219"/>
        <v>0</v>
      </c>
      <c r="M610" s="145">
        <f t="shared" si="219"/>
        <v>0</v>
      </c>
      <c r="N610" s="145">
        <f t="shared" si="219"/>
        <v>593.77800000000002</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972</v>
      </c>
      <c r="G611" s="91" t="s">
        <v>254</v>
      </c>
      <c r="H611" s="91"/>
      <c r="I611" s="91"/>
      <c r="J611" s="198">
        <f>J147</f>
        <v>0</v>
      </c>
      <c r="K611" s="198">
        <f t="shared" ref="K611:Y611" si="220">K147</f>
        <v>0</v>
      </c>
      <c r="L611" s="198">
        <f t="shared" si="220"/>
        <v>0</v>
      </c>
      <c r="M611" s="198">
        <f t="shared" si="220"/>
        <v>0</v>
      </c>
      <c r="N611" s="198">
        <f t="shared" si="220"/>
        <v>194.316</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1123</v>
      </c>
      <c r="AQ613" s="3"/>
    </row>
    <row r="614" spans="4:43" x14ac:dyDescent="0.25">
      <c r="E614" s="111" t="s">
        <v>247</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969</v>
      </c>
      <c r="G615" t="s">
        <v>207</v>
      </c>
      <c r="J615" s="174">
        <f>J152</f>
        <v>0</v>
      </c>
      <c r="K615" s="174">
        <f t="shared" ref="K615:Y615" si="221">K152</f>
        <v>0</v>
      </c>
      <c r="L615" s="174">
        <f t="shared" si="221"/>
        <v>0</v>
      </c>
      <c r="M615" s="174">
        <f t="shared" si="221"/>
        <v>0</v>
      </c>
      <c r="N615" s="174">
        <f t="shared" si="221"/>
        <v>0</v>
      </c>
      <c r="O615" s="174">
        <f t="shared" si="221"/>
        <v>0</v>
      </c>
      <c r="P615" s="174">
        <f t="shared" si="221"/>
        <v>0</v>
      </c>
      <c r="Q615" s="174">
        <f t="shared" si="221"/>
        <v>0</v>
      </c>
      <c r="R615" s="174">
        <f t="shared" si="221"/>
        <v>4185.4514724520768</v>
      </c>
      <c r="S615" s="174">
        <f t="shared" si="221"/>
        <v>0</v>
      </c>
      <c r="T615" s="174">
        <f t="shared" si="221"/>
        <v>4.4000000000000011E-2</v>
      </c>
      <c r="U615" s="174">
        <f t="shared" si="221"/>
        <v>0</v>
      </c>
      <c r="V615" s="174">
        <f t="shared" si="221"/>
        <v>0</v>
      </c>
      <c r="W615" s="174">
        <f t="shared" si="221"/>
        <v>0</v>
      </c>
      <c r="X615" s="174">
        <f t="shared" si="221"/>
        <v>0</v>
      </c>
      <c r="Y615" s="174">
        <f t="shared" si="221"/>
        <v>0</v>
      </c>
      <c r="AQ615" s="3"/>
    </row>
    <row r="616" spans="4:43" x14ac:dyDescent="0.25">
      <c r="E616" s="124"/>
      <c r="F616" s="2" t="s">
        <v>970</v>
      </c>
      <c r="G616" t="s">
        <v>207</v>
      </c>
      <c r="J616" s="198">
        <f>J161</f>
        <v>31822.604696478476</v>
      </c>
      <c r="K616" s="198">
        <f t="shared" ref="K616:Y616" si="222">K161</f>
        <v>0</v>
      </c>
      <c r="L616" s="198">
        <f t="shared" si="222"/>
        <v>272.59767908914301</v>
      </c>
      <c r="M616" s="198">
        <f t="shared" si="222"/>
        <v>0</v>
      </c>
      <c r="N616" s="198">
        <f t="shared" si="222"/>
        <v>1060.623</v>
      </c>
      <c r="O616" s="198">
        <f t="shared" si="222"/>
        <v>0</v>
      </c>
      <c r="P616" s="198">
        <f t="shared" si="222"/>
        <v>935.44699999999989</v>
      </c>
      <c r="Q616" s="198">
        <f t="shared" si="222"/>
        <v>18.416884893455101</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971</v>
      </c>
      <c r="G617" t="s">
        <v>207</v>
      </c>
      <c r="J617" s="198">
        <f>J170</f>
        <v>0</v>
      </c>
      <c r="K617" s="198">
        <f t="shared" ref="K617:Y617" si="223">K170</f>
        <v>0</v>
      </c>
      <c r="L617" s="198">
        <f t="shared" si="223"/>
        <v>376.95201120233037</v>
      </c>
      <c r="M617" s="198">
        <f t="shared" si="223"/>
        <v>0</v>
      </c>
      <c r="N617" s="198">
        <f t="shared" si="223"/>
        <v>2639.4720000000002</v>
      </c>
      <c r="O617" s="198">
        <f t="shared" si="223"/>
        <v>116.745</v>
      </c>
      <c r="P617" s="198">
        <f t="shared" si="223"/>
        <v>1159.1999999999998</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973</v>
      </c>
      <c r="G618" t="s">
        <v>207</v>
      </c>
      <c r="J618" s="145">
        <f>J179</f>
        <v>0</v>
      </c>
      <c r="K618" s="145">
        <f t="shared" ref="K618:Y618" si="224">K179</f>
        <v>0</v>
      </c>
      <c r="L618" s="145">
        <f t="shared" si="224"/>
        <v>551.49287055389118</v>
      </c>
      <c r="M618" s="145">
        <f t="shared" si="224"/>
        <v>0</v>
      </c>
      <c r="N618" s="145">
        <f t="shared" si="224"/>
        <v>3418.0200000000004</v>
      </c>
      <c r="O618" s="145">
        <f t="shared" si="224"/>
        <v>49.131</v>
      </c>
      <c r="P618" s="145">
        <f t="shared" si="224"/>
        <v>1527.7200000000003</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972</v>
      </c>
      <c r="G619" t="s">
        <v>207</v>
      </c>
      <c r="J619" s="145">
        <f>J188</f>
        <v>0</v>
      </c>
      <c r="K619" s="145">
        <f t="shared" ref="K619:Y619" si="225">K188</f>
        <v>0</v>
      </c>
      <c r="L619" s="145">
        <f t="shared" si="225"/>
        <v>1064.8127993051485</v>
      </c>
      <c r="M619" s="145">
        <f t="shared" si="225"/>
        <v>0</v>
      </c>
      <c r="N619" s="145">
        <f t="shared" si="225"/>
        <v>8785.0440000000017</v>
      </c>
      <c r="O619" s="145">
        <f t="shared" si="225"/>
        <v>3633.603000000001</v>
      </c>
      <c r="P619" s="145">
        <f t="shared" si="225"/>
        <v>1498.6760000000002</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248</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969</v>
      </c>
      <c r="G621" t="s">
        <v>207</v>
      </c>
      <c r="J621" s="174">
        <f>J153</f>
        <v>0</v>
      </c>
      <c r="K621" s="174">
        <f t="shared" ref="K621:Y621" si="226">K153</f>
        <v>14.669999999999998</v>
      </c>
      <c r="L621" s="174">
        <f t="shared" si="226"/>
        <v>0</v>
      </c>
      <c r="M621" s="174">
        <f t="shared" si="226"/>
        <v>0</v>
      </c>
      <c r="N621" s="174">
        <f t="shared" si="226"/>
        <v>0</v>
      </c>
      <c r="O621" s="174">
        <f t="shared" si="226"/>
        <v>0</v>
      </c>
      <c r="P621" s="174">
        <f t="shared" si="226"/>
        <v>0</v>
      </c>
      <c r="Q621" s="174">
        <f t="shared" si="226"/>
        <v>0</v>
      </c>
      <c r="R621" s="174">
        <f t="shared" si="226"/>
        <v>22119.511332572329</v>
      </c>
      <c r="S621" s="174">
        <f t="shared" si="226"/>
        <v>0</v>
      </c>
      <c r="T621" s="174">
        <f t="shared" si="226"/>
        <v>0.47600000000000015</v>
      </c>
      <c r="U621" s="174">
        <f t="shared" si="226"/>
        <v>0</v>
      </c>
      <c r="V621" s="174">
        <f t="shared" si="226"/>
        <v>0</v>
      </c>
      <c r="W621" s="174">
        <f t="shared" si="226"/>
        <v>0</v>
      </c>
      <c r="X621" s="174">
        <f t="shared" si="226"/>
        <v>0</v>
      </c>
      <c r="Y621" s="174">
        <f t="shared" si="226"/>
        <v>0</v>
      </c>
      <c r="AQ621" s="3"/>
    </row>
    <row r="622" spans="4:43" x14ac:dyDescent="0.25">
      <c r="E622" s="124"/>
      <c r="F622" s="2" t="s">
        <v>970</v>
      </c>
      <c r="G622" t="s">
        <v>207</v>
      </c>
      <c r="J622" s="198">
        <f>J162</f>
        <v>112500.30860353298</v>
      </c>
      <c r="K622" s="198">
        <f t="shared" ref="K622:Y622" si="227">K162</f>
        <v>0</v>
      </c>
      <c r="L622" s="198">
        <f t="shared" si="227"/>
        <v>1413.8117922750191</v>
      </c>
      <c r="M622" s="198">
        <f t="shared" si="227"/>
        <v>0</v>
      </c>
      <c r="N622" s="198">
        <f t="shared" si="227"/>
        <v>4602.2050000000008</v>
      </c>
      <c r="O622" s="198">
        <f t="shared" si="227"/>
        <v>0</v>
      </c>
      <c r="P622" s="198">
        <f t="shared" si="227"/>
        <v>4238.0400000000009</v>
      </c>
      <c r="Q622" s="198">
        <f t="shared" si="227"/>
        <v>221.81066970532819</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971</v>
      </c>
      <c r="G623" t="s">
        <v>207</v>
      </c>
      <c r="J623" s="198">
        <f>J171</f>
        <v>0</v>
      </c>
      <c r="K623" s="198">
        <f t="shared" ref="K623:Y623" si="228">K171</f>
        <v>0</v>
      </c>
      <c r="L623" s="198">
        <f t="shared" si="228"/>
        <v>1952.3763872739405</v>
      </c>
      <c r="M623" s="198">
        <f t="shared" si="228"/>
        <v>0</v>
      </c>
      <c r="N623" s="198">
        <f t="shared" si="228"/>
        <v>11199.531000000001</v>
      </c>
      <c r="O623" s="198">
        <f t="shared" si="228"/>
        <v>484.83300000000008</v>
      </c>
      <c r="P623" s="198">
        <f t="shared" si="228"/>
        <v>5012.5640000000003</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973</v>
      </c>
      <c r="G624" t="s">
        <v>207</v>
      </c>
      <c r="J624" s="145">
        <f>J180</f>
        <v>0</v>
      </c>
      <c r="K624" s="145">
        <f t="shared" ref="K624:Y624" si="229">K180</f>
        <v>0</v>
      </c>
      <c r="L624" s="145">
        <f t="shared" si="229"/>
        <v>2847.8755443340997</v>
      </c>
      <c r="M624" s="145">
        <f t="shared" si="229"/>
        <v>0</v>
      </c>
      <c r="N624" s="145">
        <f t="shared" si="229"/>
        <v>14756.190999999999</v>
      </c>
      <c r="O624" s="145">
        <f t="shared" si="229"/>
        <v>219.785</v>
      </c>
      <c r="P624" s="145">
        <f t="shared" si="229"/>
        <v>6786.5599999999995</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972</v>
      </c>
      <c r="G625" t="s">
        <v>207</v>
      </c>
      <c r="J625" s="145">
        <f>J189</f>
        <v>0</v>
      </c>
      <c r="K625" s="145">
        <f t="shared" ref="K625:Y625" si="230">K189</f>
        <v>0</v>
      </c>
      <c r="L625" s="145">
        <f t="shared" si="230"/>
        <v>5498.5045368633428</v>
      </c>
      <c r="M625" s="145">
        <f t="shared" si="230"/>
        <v>0</v>
      </c>
      <c r="N625" s="145">
        <f t="shared" si="230"/>
        <v>39880.716999999997</v>
      </c>
      <c r="O625" s="145">
        <f t="shared" si="230"/>
        <v>16219.2</v>
      </c>
      <c r="P625" s="145">
        <f t="shared" si="230"/>
        <v>7252.5439999999999</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249</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969</v>
      </c>
      <c r="G627" t="s">
        <v>207</v>
      </c>
      <c r="J627" s="174">
        <f>J154</f>
        <v>0</v>
      </c>
      <c r="K627" s="174">
        <f t="shared" ref="K627:Y627" si="231">K154</f>
        <v>260.36899999999997</v>
      </c>
      <c r="L627" s="174">
        <f t="shared" si="231"/>
        <v>0</v>
      </c>
      <c r="M627" s="174">
        <f t="shared" si="231"/>
        <v>0</v>
      </c>
      <c r="N627" s="174">
        <f t="shared" si="231"/>
        <v>0</v>
      </c>
      <c r="O627" s="174">
        <f t="shared" si="231"/>
        <v>0</v>
      </c>
      <c r="P627" s="174">
        <f t="shared" si="231"/>
        <v>0</v>
      </c>
      <c r="Q627" s="174">
        <f t="shared" si="231"/>
        <v>0</v>
      </c>
      <c r="R627" s="174">
        <f t="shared" si="231"/>
        <v>9947.1981126761348</v>
      </c>
      <c r="S627" s="174">
        <f t="shared" si="231"/>
        <v>0</v>
      </c>
      <c r="T627" s="174">
        <f t="shared" si="231"/>
        <v>1.202</v>
      </c>
      <c r="U627" s="174">
        <f t="shared" si="231"/>
        <v>0</v>
      </c>
      <c r="V627" s="174">
        <f t="shared" si="231"/>
        <v>0</v>
      </c>
      <c r="W627" s="174">
        <f t="shared" si="231"/>
        <v>0</v>
      </c>
      <c r="X627" s="174">
        <f t="shared" si="231"/>
        <v>0</v>
      </c>
      <c r="Y627" s="174">
        <f t="shared" si="231"/>
        <v>0</v>
      </c>
      <c r="AQ627" s="3"/>
    </row>
    <row r="628" spans="5:43" x14ac:dyDescent="0.25">
      <c r="E628" s="124"/>
      <c r="F628" s="2" t="s">
        <v>970</v>
      </c>
      <c r="G628" t="s">
        <v>207</v>
      </c>
      <c r="J628" s="198">
        <f>J163</f>
        <v>102434.88722672098</v>
      </c>
      <c r="K628" s="198">
        <f t="shared" ref="K628:Y628" si="232">K163</f>
        <v>0</v>
      </c>
      <c r="L628" s="198">
        <f t="shared" si="232"/>
        <v>1123.3285139185232</v>
      </c>
      <c r="M628" s="198">
        <f t="shared" si="232"/>
        <v>0</v>
      </c>
      <c r="N628" s="198">
        <f t="shared" si="232"/>
        <v>4547.0809999999992</v>
      </c>
      <c r="O628" s="198">
        <f t="shared" si="232"/>
        <v>0</v>
      </c>
      <c r="P628" s="198">
        <f t="shared" si="232"/>
        <v>4606.8730000000014</v>
      </c>
      <c r="Q628" s="198">
        <f t="shared" si="232"/>
        <v>261.40423687505682</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971</v>
      </c>
      <c r="G629" t="s">
        <v>207</v>
      </c>
      <c r="J629" s="198">
        <f>J172</f>
        <v>0</v>
      </c>
      <c r="K629" s="198">
        <f t="shared" ref="K629:Y629" si="233">K172</f>
        <v>0</v>
      </c>
      <c r="L629" s="198">
        <f t="shared" si="233"/>
        <v>1536.2863492087945</v>
      </c>
      <c r="M629" s="198">
        <f t="shared" si="233"/>
        <v>0</v>
      </c>
      <c r="N629" s="198">
        <f t="shared" si="233"/>
        <v>9443.5720000000001</v>
      </c>
      <c r="O629" s="198">
        <f t="shared" si="233"/>
        <v>504.34399999999999</v>
      </c>
      <c r="P629" s="198">
        <f t="shared" si="233"/>
        <v>5478.5059999999994</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973</v>
      </c>
      <c r="G630" t="s">
        <v>207</v>
      </c>
      <c r="J630" s="145">
        <f>J181</f>
        <v>0</v>
      </c>
      <c r="K630" s="145">
        <f t="shared" ref="K630:Y630" si="234">K181</f>
        <v>0</v>
      </c>
      <c r="L630" s="145">
        <f t="shared" si="234"/>
        <v>2278.9945095773928</v>
      </c>
      <c r="M630" s="145">
        <f t="shared" si="234"/>
        <v>0</v>
      </c>
      <c r="N630" s="145">
        <f t="shared" si="234"/>
        <v>13669.217000000001</v>
      </c>
      <c r="O630" s="145">
        <f t="shared" si="234"/>
        <v>257.81100000000004</v>
      </c>
      <c r="P630" s="145">
        <f t="shared" si="234"/>
        <v>8352.4259999999995</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972</v>
      </c>
      <c r="G631" t="s">
        <v>207</v>
      </c>
      <c r="J631" s="145">
        <f>J190</f>
        <v>0</v>
      </c>
      <c r="K631" s="145">
        <f t="shared" ref="K631:Y631" si="235">K190</f>
        <v>0</v>
      </c>
      <c r="L631" s="145">
        <f t="shared" si="235"/>
        <v>4536.1146177521596</v>
      </c>
      <c r="M631" s="145">
        <f t="shared" si="235"/>
        <v>0</v>
      </c>
      <c r="N631" s="145">
        <f t="shared" si="235"/>
        <v>36000.575000000004</v>
      </c>
      <c r="O631" s="145">
        <f t="shared" si="235"/>
        <v>15138.128000000002</v>
      </c>
      <c r="P631" s="145">
        <f t="shared" si="235"/>
        <v>10090.327000000001</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212</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969</v>
      </c>
      <c r="G633" t="s">
        <v>212</v>
      </c>
      <c r="J633" s="174">
        <f>J155</f>
        <v>0</v>
      </c>
      <c r="K633" s="174">
        <f t="shared" ref="K633:Y633" si="236">K155</f>
        <v>70</v>
      </c>
      <c r="L633" s="174">
        <f t="shared" si="236"/>
        <v>0</v>
      </c>
      <c r="M633" s="174">
        <f t="shared" si="236"/>
        <v>0</v>
      </c>
      <c r="N633" s="174">
        <f t="shared" si="236"/>
        <v>0</v>
      </c>
      <c r="O633" s="174">
        <f t="shared" si="236"/>
        <v>0</v>
      </c>
      <c r="P633" s="174">
        <f t="shared" si="236"/>
        <v>0</v>
      </c>
      <c r="Q633" s="174">
        <f t="shared" si="236"/>
        <v>0</v>
      </c>
      <c r="R633" s="174">
        <f t="shared" si="236"/>
        <v>1872</v>
      </c>
      <c r="S633" s="174">
        <f t="shared" si="236"/>
        <v>0</v>
      </c>
      <c r="T633" s="174">
        <f t="shared" si="236"/>
        <v>1</v>
      </c>
      <c r="U633" s="174">
        <f t="shared" si="236"/>
        <v>0</v>
      </c>
      <c r="V633" s="174">
        <f t="shared" si="236"/>
        <v>0</v>
      </c>
      <c r="W633" s="174">
        <f t="shared" si="236"/>
        <v>0</v>
      </c>
      <c r="X633" s="174">
        <f t="shared" si="236"/>
        <v>0</v>
      </c>
      <c r="Y633" s="174">
        <f t="shared" si="236"/>
        <v>0</v>
      </c>
      <c r="AQ633" s="3"/>
    </row>
    <row r="634" spans="5:43" x14ac:dyDescent="0.25">
      <c r="E634" s="124"/>
      <c r="F634" s="2" t="s">
        <v>970</v>
      </c>
      <c r="G634" t="s">
        <v>212</v>
      </c>
      <c r="J634" s="198">
        <f>J164</f>
        <v>94595</v>
      </c>
      <c r="K634" s="198">
        <f t="shared" ref="K634:Y634" si="237">K164</f>
        <v>0</v>
      </c>
      <c r="L634" s="198">
        <f t="shared" si="237"/>
        <v>628</v>
      </c>
      <c r="M634" s="198">
        <f t="shared" si="237"/>
        <v>0</v>
      </c>
      <c r="N634" s="198">
        <f t="shared" si="237"/>
        <v>91</v>
      </c>
      <c r="O634" s="198">
        <f t="shared" si="237"/>
        <v>0</v>
      </c>
      <c r="P634" s="198">
        <f t="shared" si="237"/>
        <v>9</v>
      </c>
      <c r="Q634" s="198">
        <f t="shared" si="237"/>
        <v>54</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971</v>
      </c>
      <c r="G635" t="s">
        <v>212</v>
      </c>
      <c r="J635" s="198">
        <f>J173</f>
        <v>0</v>
      </c>
      <c r="K635" s="198">
        <f t="shared" ref="K635:Y635" si="238">K173</f>
        <v>0</v>
      </c>
      <c r="L635" s="198">
        <f t="shared" si="238"/>
        <v>534</v>
      </c>
      <c r="M635" s="198">
        <f t="shared" si="238"/>
        <v>0</v>
      </c>
      <c r="N635" s="198">
        <f t="shared" si="238"/>
        <v>157</v>
      </c>
      <c r="O635" s="198">
        <f t="shared" si="238"/>
        <v>3</v>
      </c>
      <c r="P635" s="198">
        <f t="shared" si="238"/>
        <v>6</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973</v>
      </c>
      <c r="G636" t="s">
        <v>212</v>
      </c>
      <c r="J636" s="145">
        <f>J182</f>
        <v>0</v>
      </c>
      <c r="K636" s="145">
        <f t="shared" ref="K636:Y636" si="239">K182</f>
        <v>0</v>
      </c>
      <c r="L636" s="145">
        <f t="shared" si="239"/>
        <v>369</v>
      </c>
      <c r="M636" s="145">
        <f t="shared" si="239"/>
        <v>0</v>
      </c>
      <c r="N636" s="145">
        <f t="shared" si="239"/>
        <v>106</v>
      </c>
      <c r="O636" s="145">
        <f t="shared" si="239"/>
        <v>1</v>
      </c>
      <c r="P636" s="145">
        <f t="shared" si="239"/>
        <v>7</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972</v>
      </c>
      <c r="G637" t="s">
        <v>212</v>
      </c>
      <c r="J637" s="145">
        <f>J191</f>
        <v>0</v>
      </c>
      <c r="K637" s="145">
        <f t="shared" ref="K637:Y637" si="240">K191</f>
        <v>0</v>
      </c>
      <c r="L637" s="145">
        <f t="shared" si="240"/>
        <v>292</v>
      </c>
      <c r="M637" s="145">
        <f t="shared" si="240"/>
        <v>0</v>
      </c>
      <c r="N637" s="145">
        <f t="shared" si="240"/>
        <v>172</v>
      </c>
      <c r="O637" s="145">
        <f t="shared" si="240"/>
        <v>41</v>
      </c>
      <c r="P637" s="145">
        <f t="shared" si="240"/>
        <v>8</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250</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969</v>
      </c>
      <c r="G639" t="s">
        <v>251</v>
      </c>
      <c r="J639" s="174">
        <f>J156</f>
        <v>0</v>
      </c>
      <c r="K639" s="174">
        <f t="shared" ref="K639:Y639" si="241">K156</f>
        <v>0</v>
      </c>
      <c r="L639" s="174">
        <f t="shared" si="241"/>
        <v>0</v>
      </c>
      <c r="M639" s="174">
        <f t="shared" si="241"/>
        <v>0</v>
      </c>
      <c r="N639" s="174">
        <f t="shared" si="241"/>
        <v>0</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970</v>
      </c>
      <c r="G640" t="s">
        <v>251</v>
      </c>
      <c r="J640" s="198">
        <f>J165</f>
        <v>0</v>
      </c>
      <c r="K640" s="198">
        <f t="shared" ref="K640:Y640" si="242">K165</f>
        <v>0</v>
      </c>
      <c r="L640" s="198">
        <f t="shared" si="242"/>
        <v>0</v>
      </c>
      <c r="M640" s="198">
        <f t="shared" si="242"/>
        <v>0</v>
      </c>
      <c r="N640" s="198">
        <f t="shared" si="242"/>
        <v>5141</v>
      </c>
      <c r="O640" s="198">
        <f t="shared" si="242"/>
        <v>0</v>
      </c>
      <c r="P640" s="198">
        <f t="shared" si="242"/>
        <v>2743</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971</v>
      </c>
      <c r="G641" t="s">
        <v>251</v>
      </c>
      <c r="J641" s="198">
        <f>J174</f>
        <v>0</v>
      </c>
      <c r="K641" s="198">
        <f t="shared" ref="K641:Y641" si="243">K174</f>
        <v>0</v>
      </c>
      <c r="L641" s="198">
        <f t="shared" si="243"/>
        <v>0</v>
      </c>
      <c r="M641" s="198">
        <f t="shared" si="243"/>
        <v>0</v>
      </c>
      <c r="N641" s="198">
        <f t="shared" si="243"/>
        <v>18185</v>
      </c>
      <c r="O641" s="198">
        <f t="shared" si="243"/>
        <v>327</v>
      </c>
      <c r="P641" s="198">
        <f t="shared" si="243"/>
        <v>3695</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973</v>
      </c>
      <c r="G642" t="s">
        <v>251</v>
      </c>
      <c r="J642" s="145">
        <f>J183</f>
        <v>0</v>
      </c>
      <c r="K642" s="145">
        <f t="shared" ref="K642:Y642" si="244">K183</f>
        <v>0</v>
      </c>
      <c r="L642" s="145">
        <f t="shared" si="244"/>
        <v>0</v>
      </c>
      <c r="M642" s="145">
        <f t="shared" si="244"/>
        <v>0</v>
      </c>
      <c r="N642" s="145">
        <f t="shared" si="244"/>
        <v>19461</v>
      </c>
      <c r="O642" s="145">
        <f t="shared" si="244"/>
        <v>225</v>
      </c>
      <c r="P642" s="145">
        <f t="shared" si="244"/>
        <v>9600</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972</v>
      </c>
      <c r="G643" t="s">
        <v>251</v>
      </c>
      <c r="J643" s="145">
        <f>J192</f>
        <v>0</v>
      </c>
      <c r="K643" s="145">
        <f t="shared" ref="K643:Y643" si="245">K192</f>
        <v>0</v>
      </c>
      <c r="L643" s="145">
        <f t="shared" si="245"/>
        <v>0</v>
      </c>
      <c r="M643" s="145">
        <f t="shared" si="245"/>
        <v>0</v>
      </c>
      <c r="N643" s="145">
        <f t="shared" si="245"/>
        <v>78990</v>
      </c>
      <c r="O643" s="145">
        <f t="shared" si="245"/>
        <v>27059</v>
      </c>
      <c r="P643" s="145">
        <f t="shared" si="245"/>
        <v>23200</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252</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969</v>
      </c>
      <c r="G645" t="s">
        <v>251</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970</v>
      </c>
      <c r="G646" t="s">
        <v>251</v>
      </c>
      <c r="J646" s="198">
        <f>J166</f>
        <v>0</v>
      </c>
      <c r="K646" s="198">
        <f t="shared" ref="K646:Y646" si="247">K166</f>
        <v>0</v>
      </c>
      <c r="L646" s="198">
        <f t="shared" si="247"/>
        <v>0</v>
      </c>
      <c r="M646" s="198">
        <f t="shared" si="247"/>
        <v>0</v>
      </c>
      <c r="N646" s="198">
        <f t="shared" si="247"/>
        <v>1552</v>
      </c>
      <c r="O646" s="198">
        <f t="shared" si="247"/>
        <v>0</v>
      </c>
      <c r="P646" s="198">
        <f t="shared" si="247"/>
        <v>0</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971</v>
      </c>
      <c r="G647" t="s">
        <v>251</v>
      </c>
      <c r="J647" s="198">
        <f>J175</f>
        <v>0</v>
      </c>
      <c r="K647" s="198">
        <f t="shared" ref="K647:Y647" si="248">K175</f>
        <v>0</v>
      </c>
      <c r="L647" s="198">
        <f t="shared" si="248"/>
        <v>0</v>
      </c>
      <c r="M647" s="198">
        <f t="shared" si="248"/>
        <v>0</v>
      </c>
      <c r="N647" s="198">
        <f t="shared" si="248"/>
        <v>8</v>
      </c>
      <c r="O647" s="198">
        <f t="shared" si="248"/>
        <v>0</v>
      </c>
      <c r="P647" s="198">
        <f t="shared" si="248"/>
        <v>241</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973</v>
      </c>
      <c r="G648" t="s">
        <v>251</v>
      </c>
      <c r="J648" s="145">
        <f>J184</f>
        <v>0</v>
      </c>
      <c r="K648" s="145">
        <f t="shared" ref="K648:Y648" si="249">K184</f>
        <v>0</v>
      </c>
      <c r="L648" s="145">
        <f t="shared" si="249"/>
        <v>0</v>
      </c>
      <c r="M648" s="145">
        <f t="shared" si="249"/>
        <v>0</v>
      </c>
      <c r="N648" s="145">
        <f t="shared" si="249"/>
        <v>8.3333333333333339</v>
      </c>
      <c r="O648" s="145">
        <f t="shared" si="249"/>
        <v>0</v>
      </c>
      <c r="P648" s="145">
        <f t="shared" si="249"/>
        <v>0</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972</v>
      </c>
      <c r="G649" t="s">
        <v>251</v>
      </c>
      <c r="J649" s="145">
        <f>J193</f>
        <v>0</v>
      </c>
      <c r="K649" s="145">
        <f t="shared" ref="K649:Y649" si="250">K193</f>
        <v>0</v>
      </c>
      <c r="L649" s="145">
        <f t="shared" si="250"/>
        <v>0</v>
      </c>
      <c r="M649" s="145">
        <f t="shared" si="250"/>
        <v>0</v>
      </c>
      <c r="N649" s="145">
        <f t="shared" si="250"/>
        <v>2.6666666666666665</v>
      </c>
      <c r="O649" s="145">
        <f t="shared" si="250"/>
        <v>0</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253</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969</v>
      </c>
      <c r="G651" t="s">
        <v>254</v>
      </c>
      <c r="J651" s="174">
        <f>J158</f>
        <v>0</v>
      </c>
      <c r="K651" s="174">
        <f t="shared" ref="K651:Y651" si="251">K158</f>
        <v>0</v>
      </c>
      <c r="L651" s="174">
        <f t="shared" si="251"/>
        <v>0</v>
      </c>
      <c r="M651" s="174">
        <f t="shared" si="251"/>
        <v>0</v>
      </c>
      <c r="N651" s="174">
        <f t="shared" si="251"/>
        <v>0</v>
      </c>
      <c r="O651" s="174">
        <f t="shared" si="251"/>
        <v>0</v>
      </c>
      <c r="P651" s="174">
        <f t="shared" si="251"/>
        <v>0</v>
      </c>
      <c r="Q651" s="174">
        <f t="shared" si="251"/>
        <v>0</v>
      </c>
      <c r="R651" s="174">
        <f t="shared" si="251"/>
        <v>0</v>
      </c>
      <c r="S651" s="174">
        <f t="shared" si="251"/>
        <v>0</v>
      </c>
      <c r="T651" s="174">
        <f t="shared" si="251"/>
        <v>0.41199999999999992</v>
      </c>
      <c r="U651" s="174">
        <f t="shared" si="251"/>
        <v>0</v>
      </c>
      <c r="V651" s="174">
        <f t="shared" si="251"/>
        <v>0</v>
      </c>
      <c r="W651" s="174">
        <f t="shared" si="251"/>
        <v>0</v>
      </c>
      <c r="X651" s="174">
        <f t="shared" si="251"/>
        <v>0</v>
      </c>
      <c r="Y651" s="174">
        <f t="shared" si="251"/>
        <v>0</v>
      </c>
      <c r="AQ651" s="3"/>
    </row>
    <row r="652" spans="5:43" x14ac:dyDescent="0.25">
      <c r="E652" s="124"/>
      <c r="F652" s="2" t="s">
        <v>970</v>
      </c>
      <c r="G652" t="s">
        <v>254</v>
      </c>
      <c r="J652" s="198">
        <f>J167</f>
        <v>0</v>
      </c>
      <c r="K652" s="198">
        <f t="shared" ref="K652:Y652" si="252">K167</f>
        <v>0</v>
      </c>
      <c r="L652" s="198">
        <f t="shared" si="252"/>
        <v>0</v>
      </c>
      <c r="M652" s="198">
        <f t="shared" si="252"/>
        <v>0</v>
      </c>
      <c r="N652" s="198">
        <f t="shared" si="252"/>
        <v>863.53200000000004</v>
      </c>
      <c r="O652" s="198">
        <f t="shared" si="252"/>
        <v>0</v>
      </c>
      <c r="P652" s="198">
        <f t="shared" si="252"/>
        <v>836.62400000000002</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971</v>
      </c>
      <c r="G653" t="s">
        <v>254</v>
      </c>
      <c r="J653" s="198">
        <f>J176</f>
        <v>0</v>
      </c>
      <c r="K653" s="198">
        <f t="shared" ref="K653:Y653" si="253">K176</f>
        <v>0</v>
      </c>
      <c r="L653" s="198">
        <f t="shared" si="253"/>
        <v>0</v>
      </c>
      <c r="M653" s="198">
        <f t="shared" si="253"/>
        <v>0</v>
      </c>
      <c r="N653" s="198">
        <f t="shared" si="253"/>
        <v>1035.95</v>
      </c>
      <c r="O653" s="198">
        <f t="shared" si="253"/>
        <v>20.306000000000001</v>
      </c>
      <c r="P653" s="198">
        <f t="shared" si="253"/>
        <v>0.19400000000000001</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973</v>
      </c>
      <c r="G654" t="s">
        <v>254</v>
      </c>
      <c r="J654" s="145">
        <f>J185</f>
        <v>0</v>
      </c>
      <c r="K654" s="145">
        <f t="shared" ref="K654:Y654" si="254">K185</f>
        <v>0</v>
      </c>
      <c r="L654" s="145">
        <f t="shared" si="254"/>
        <v>0</v>
      </c>
      <c r="M654" s="145">
        <f t="shared" si="254"/>
        <v>0</v>
      </c>
      <c r="N654" s="145">
        <f t="shared" si="254"/>
        <v>986.17600000000004</v>
      </c>
      <c r="O654" s="145">
        <f t="shared" si="254"/>
        <v>0.104</v>
      </c>
      <c r="P654" s="145">
        <f t="shared" si="254"/>
        <v>648.19200000000001</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972</v>
      </c>
      <c r="G655" s="91" t="s">
        <v>254</v>
      </c>
      <c r="H655" s="91"/>
      <c r="I655" s="91"/>
      <c r="J655" s="198">
        <f>J194</f>
        <v>0</v>
      </c>
      <c r="K655" s="198">
        <f t="shared" ref="K655:Y655" si="255">K194</f>
        <v>0</v>
      </c>
      <c r="L655" s="198">
        <f t="shared" si="255"/>
        <v>0</v>
      </c>
      <c r="M655" s="198">
        <f t="shared" si="255"/>
        <v>0</v>
      </c>
      <c r="N655" s="198">
        <f t="shared" si="255"/>
        <v>5234.7879999999996</v>
      </c>
      <c r="O655" s="198">
        <f t="shared" si="255"/>
        <v>1570.232</v>
      </c>
      <c r="P655" s="198">
        <f t="shared" si="255"/>
        <v>262.87200000000001</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1100</v>
      </c>
      <c r="I659" t="s">
        <v>154</v>
      </c>
      <c r="AA659" t="s">
        <v>1129</v>
      </c>
      <c r="AQ659" s="3"/>
    </row>
    <row r="660" spans="3:43" x14ac:dyDescent="0.25">
      <c r="D660" s="71" t="s">
        <v>1101</v>
      </c>
      <c r="AQ660" s="3"/>
    </row>
    <row r="661" spans="3:43" x14ac:dyDescent="0.25">
      <c r="D661" s="71" t="s">
        <v>1102</v>
      </c>
      <c r="AQ661" s="3"/>
    </row>
    <row r="662" spans="3:43" x14ac:dyDescent="0.25">
      <c r="D662" s="71" t="s">
        <v>1103</v>
      </c>
      <c r="AQ662" s="3"/>
    </row>
    <row r="663" spans="3:43" x14ac:dyDescent="0.25">
      <c r="AQ663" s="3"/>
    </row>
    <row r="664" spans="3:43" x14ac:dyDescent="0.25">
      <c r="E664" s="60" t="s">
        <v>978</v>
      </c>
      <c r="J664" s="201" t="s">
        <v>969</v>
      </c>
      <c r="K664" s="201" t="s">
        <v>974</v>
      </c>
      <c r="L664" s="201" t="s">
        <v>975</v>
      </c>
      <c r="M664" s="201" t="s">
        <v>976</v>
      </c>
      <c r="N664" s="201" t="s">
        <v>977</v>
      </c>
      <c r="AQ664" s="3"/>
    </row>
    <row r="665" spans="3:43" x14ac:dyDescent="0.25">
      <c r="E665" s="60"/>
      <c r="F665" s="90" t="s">
        <v>247</v>
      </c>
      <c r="G665" s="90" t="s">
        <v>167</v>
      </c>
      <c r="H665" s="90"/>
      <c r="I665" s="90"/>
      <c r="J665" s="202">
        <f>'Inputs by customer type'!J169</f>
        <v>0</v>
      </c>
      <c r="K665" s="202">
        <f>'Inputs by customer type'!K169</f>
        <v>8.6754374311875562E-2</v>
      </c>
      <c r="L665" s="202">
        <f>'Inputs by customer type'!L169</f>
        <v>0.15297665329337079</v>
      </c>
      <c r="M665" s="202">
        <f>'Inputs by customer type'!M169</f>
        <v>0.18755462380973875</v>
      </c>
      <c r="N665" s="202">
        <f>'Inputs by customer type'!N169</f>
        <v>0.57271434858501491</v>
      </c>
      <c r="AQ665" s="3"/>
    </row>
    <row r="666" spans="3:43" x14ac:dyDescent="0.25">
      <c r="E666" s="60"/>
      <c r="F666" t="s">
        <v>248</v>
      </c>
      <c r="G666" t="s">
        <v>167</v>
      </c>
      <c r="J666" s="203">
        <f>'Inputs by customer type'!J170</f>
        <v>0</v>
      </c>
      <c r="K666" s="203">
        <f>'Inputs by customer type'!K170</f>
        <v>8.6754374311875562E-2</v>
      </c>
      <c r="L666" s="203">
        <f>'Inputs by customer type'!L170</f>
        <v>0.15297665329337079</v>
      </c>
      <c r="M666" s="203">
        <f>'Inputs by customer type'!M170</f>
        <v>0.18755462380973875</v>
      </c>
      <c r="N666" s="203">
        <f>'Inputs by customer type'!N170</f>
        <v>0.57271434858501491</v>
      </c>
      <c r="AQ666" s="3"/>
    </row>
    <row r="667" spans="3:43" x14ac:dyDescent="0.25">
      <c r="E667" s="60"/>
      <c r="F667" s="91" t="s">
        <v>249</v>
      </c>
      <c r="G667" s="91" t="s">
        <v>167</v>
      </c>
      <c r="H667" s="91"/>
      <c r="I667" s="91"/>
      <c r="J667" s="204">
        <f>'Inputs by customer type'!J171</f>
        <v>0</v>
      </c>
      <c r="K667" s="204">
        <f>'Inputs by customer type'!K171</f>
        <v>8.6754374311875562E-2</v>
      </c>
      <c r="L667" s="204">
        <f>'Inputs by customer type'!L171</f>
        <v>0.15297665329337079</v>
      </c>
      <c r="M667" s="204">
        <f>'Inputs by customer type'!M171</f>
        <v>0.18755462380973875</v>
      </c>
      <c r="N667" s="204">
        <f>'Inputs by customer type'!N171</f>
        <v>0.57271434858501491</v>
      </c>
      <c r="AQ667" s="3"/>
    </row>
    <row r="668" spans="3:43" x14ac:dyDescent="0.25">
      <c r="E668" s="60"/>
      <c r="AQ668" s="3"/>
    </row>
    <row r="669" spans="3:43" x14ac:dyDescent="0.25">
      <c r="E669" s="60" t="s">
        <v>979</v>
      </c>
      <c r="J669" s="201" t="s">
        <v>969</v>
      </c>
      <c r="K669" s="201" t="s">
        <v>974</v>
      </c>
      <c r="L669" s="201" t="s">
        <v>975</v>
      </c>
      <c r="M669" s="201" t="s">
        <v>976</v>
      </c>
      <c r="N669" s="201" t="s">
        <v>977</v>
      </c>
      <c r="AQ669" s="3"/>
    </row>
    <row r="670" spans="3:43" x14ac:dyDescent="0.25">
      <c r="E670" s="60"/>
      <c r="F670" s="90" t="s">
        <v>247</v>
      </c>
      <c r="G670" s="90" t="s">
        <v>167</v>
      </c>
      <c r="H670" s="90"/>
      <c r="I670" s="90"/>
      <c r="J670" s="202">
        <f>'Inputs by customer type'!J174</f>
        <v>0</v>
      </c>
      <c r="K670" s="202">
        <f>'Inputs by customer type'!K174</f>
        <v>0.20735150389910206</v>
      </c>
      <c r="L670" s="202">
        <f>'Inputs by customer type'!L174</f>
        <v>0.28844122530114541</v>
      </c>
      <c r="M670" s="202">
        <f>'Inputs by customer type'!M174</f>
        <v>0.19297777529368429</v>
      </c>
      <c r="N670" s="202">
        <f>'Inputs by customer type'!N174</f>
        <v>0.3112294955060681</v>
      </c>
      <c r="AQ670" s="3"/>
    </row>
    <row r="671" spans="3:43" x14ac:dyDescent="0.25">
      <c r="E671" s="60"/>
      <c r="F671" t="s">
        <v>248</v>
      </c>
      <c r="G671" t="s">
        <v>167</v>
      </c>
      <c r="J671" s="203">
        <f>'Inputs by customer type'!J175</f>
        <v>0</v>
      </c>
      <c r="K671" s="203">
        <f>'Inputs by customer type'!K175</f>
        <v>0.20735150389910206</v>
      </c>
      <c r="L671" s="203">
        <f>'Inputs by customer type'!L175</f>
        <v>0.28844122530114541</v>
      </c>
      <c r="M671" s="203">
        <f>'Inputs by customer type'!M175</f>
        <v>0.19297777529368429</v>
      </c>
      <c r="N671" s="203">
        <f>'Inputs by customer type'!N175</f>
        <v>0.3112294955060681</v>
      </c>
      <c r="AQ671" s="3"/>
    </row>
    <row r="672" spans="3:43" x14ac:dyDescent="0.25">
      <c r="E672" s="60"/>
      <c r="F672" s="91" t="s">
        <v>249</v>
      </c>
      <c r="G672" s="91" t="s">
        <v>167</v>
      </c>
      <c r="H672" s="91"/>
      <c r="I672" s="91"/>
      <c r="J672" s="204">
        <f>'Inputs by customer type'!J176</f>
        <v>0</v>
      </c>
      <c r="K672" s="204">
        <f>'Inputs by customer type'!K176</f>
        <v>0.20735150389910206</v>
      </c>
      <c r="L672" s="204">
        <f>'Inputs by customer type'!L176</f>
        <v>0.28844122530114541</v>
      </c>
      <c r="M672" s="204">
        <f>'Inputs by customer type'!M176</f>
        <v>0.19297777529368429</v>
      </c>
      <c r="N672" s="204">
        <f>'Inputs by customer type'!N176</f>
        <v>0.3112294955060681</v>
      </c>
      <c r="AQ672" s="3"/>
    </row>
    <row r="673" spans="5:43" x14ac:dyDescent="0.25">
      <c r="E673" s="60"/>
      <c r="AQ673" s="3"/>
    </row>
    <row r="674" spans="5:43" x14ac:dyDescent="0.25">
      <c r="E674" s="60" t="s">
        <v>980</v>
      </c>
      <c r="J674" s="201" t="s">
        <v>969</v>
      </c>
      <c r="K674" s="201" t="s">
        <v>974</v>
      </c>
      <c r="L674" s="201" t="s">
        <v>975</v>
      </c>
      <c r="M674" s="201" t="s">
        <v>976</v>
      </c>
      <c r="N674" s="201" t="s">
        <v>977</v>
      </c>
      <c r="AQ674" s="3"/>
    </row>
    <row r="675" spans="5:43" x14ac:dyDescent="0.25">
      <c r="F675" s="90" t="s">
        <v>247</v>
      </c>
      <c r="G675" s="90" t="s">
        <v>167</v>
      </c>
      <c r="H675" s="90"/>
      <c r="I675" s="90"/>
      <c r="J675" s="202">
        <f>'Inputs by customer type'!J179</f>
        <v>0</v>
      </c>
      <c r="K675" s="202">
        <f>'Inputs by customer type'!K179</f>
        <v>0.11980217034588897</v>
      </c>
      <c r="L675" s="202">
        <f>'Inputs by customer type'!L179</f>
        <v>0.16482285498487639</v>
      </c>
      <c r="M675" s="202">
        <f>'Inputs by customer type'!M179</f>
        <v>0.24211517441336786</v>
      </c>
      <c r="N675" s="202">
        <f>'Inputs by customer type'!N179</f>
        <v>0.47325980025586678</v>
      </c>
      <c r="AQ675" s="3"/>
    </row>
    <row r="676" spans="5:43" x14ac:dyDescent="0.25">
      <c r="F676" t="s">
        <v>248</v>
      </c>
      <c r="G676" t="s">
        <v>167</v>
      </c>
      <c r="J676" s="203">
        <f>'Inputs by customer type'!J180</f>
        <v>0</v>
      </c>
      <c r="K676" s="203">
        <f>'Inputs by customer type'!K180</f>
        <v>0.11980217034588897</v>
      </c>
      <c r="L676" s="203">
        <f>'Inputs by customer type'!L180</f>
        <v>0.16482285498487639</v>
      </c>
      <c r="M676" s="203">
        <f>'Inputs by customer type'!M180</f>
        <v>0.24211517441336786</v>
      </c>
      <c r="N676" s="203">
        <f>'Inputs by customer type'!N180</f>
        <v>0.47325980025586678</v>
      </c>
      <c r="AQ676" s="3"/>
    </row>
    <row r="677" spans="5:43" x14ac:dyDescent="0.25">
      <c r="F677" s="91" t="s">
        <v>249</v>
      </c>
      <c r="G677" s="91" t="s">
        <v>167</v>
      </c>
      <c r="H677" s="91"/>
      <c r="I677" s="91"/>
      <c r="J677" s="204">
        <f>'Inputs by customer type'!J181</f>
        <v>0</v>
      </c>
      <c r="K677" s="204">
        <f>'Inputs by customer type'!K181</f>
        <v>0.11980217034588897</v>
      </c>
      <c r="L677" s="204">
        <f>'Inputs by customer type'!L181</f>
        <v>0.16482285498487639</v>
      </c>
      <c r="M677" s="204">
        <f>'Inputs by customer type'!M181</f>
        <v>0.24211517441336786</v>
      </c>
      <c r="N677" s="204">
        <f>'Inputs by customer type'!N181</f>
        <v>0.47325980025586678</v>
      </c>
      <c r="AQ677" s="3"/>
    </row>
    <row r="678" spans="5:43" x14ac:dyDescent="0.25">
      <c r="AQ678" s="3"/>
    </row>
    <row r="679" spans="5:43" x14ac:dyDescent="0.25">
      <c r="E679" s="60" t="s">
        <v>982</v>
      </c>
      <c r="J679" s="201" t="s">
        <v>969</v>
      </c>
      <c r="K679" s="201" t="s">
        <v>974</v>
      </c>
      <c r="L679" s="201" t="s">
        <v>975</v>
      </c>
      <c r="M679" s="201" t="s">
        <v>976</v>
      </c>
      <c r="N679" s="201" t="s">
        <v>977</v>
      </c>
      <c r="AQ679" s="3"/>
    </row>
    <row r="680" spans="5:43" x14ac:dyDescent="0.25">
      <c r="F680" s="90" t="s">
        <v>247</v>
      </c>
      <c r="G680" s="90" t="s">
        <v>207</v>
      </c>
      <c r="H680" s="90"/>
      <c r="I680" s="90"/>
      <c r="J680" s="205">
        <f t="shared" ref="J680:N682" si="256" xml:space="preserve"> $M58 * J665  + $M105 * J670 + $M152 * J675</f>
        <v>0</v>
      </c>
      <c r="K680" s="205">
        <f t="shared" si="256"/>
        <v>41.915636211905614</v>
      </c>
      <c r="L680" s="205">
        <f t="shared" si="256"/>
        <v>73.91112896865198</v>
      </c>
      <c r="M680" s="205">
        <f t="shared" si="256"/>
        <v>90.617579157546714</v>
      </c>
      <c r="N680" s="205">
        <f t="shared" si="256"/>
        <v>276.7086556618957</v>
      </c>
      <c r="AQ680" s="3"/>
    </row>
    <row r="681" spans="5:43" x14ac:dyDescent="0.25">
      <c r="F681" t="s">
        <v>248</v>
      </c>
      <c r="G681" t="s">
        <v>207</v>
      </c>
      <c r="J681" s="206">
        <f t="shared" si="256"/>
        <v>0</v>
      </c>
      <c r="K681" s="206">
        <f t="shared" si="256"/>
        <v>663.30841695559866</v>
      </c>
      <c r="L681" s="206">
        <f t="shared" si="256"/>
        <v>1169.6321082601735</v>
      </c>
      <c r="M681" s="206">
        <f t="shared" si="256"/>
        <v>1434.0090813716006</v>
      </c>
      <c r="N681" s="206">
        <f t="shared" si="256"/>
        <v>4378.8713934126272</v>
      </c>
      <c r="AQ681" s="3"/>
    </row>
    <row r="682" spans="5:43" x14ac:dyDescent="0.25">
      <c r="F682" s="91" t="s">
        <v>249</v>
      </c>
      <c r="G682" s="91" t="s">
        <v>207</v>
      </c>
      <c r="H682" s="91"/>
      <c r="I682" s="91"/>
      <c r="J682" s="207">
        <f t="shared" si="256"/>
        <v>0</v>
      </c>
      <c r="K682" s="207">
        <f t="shared" si="256"/>
        <v>2900.3968802369282</v>
      </c>
      <c r="L682" s="207">
        <f t="shared" si="256"/>
        <v>5114.3589182735077</v>
      </c>
      <c r="M682" s="207">
        <f t="shared" si="256"/>
        <v>6270.3794487203477</v>
      </c>
      <c r="N682" s="207">
        <f t="shared" si="256"/>
        <v>19147.148752769215</v>
      </c>
      <c r="AQ682" s="3"/>
    </row>
    <row r="683" spans="5:43" x14ac:dyDescent="0.25">
      <c r="J683" s="101"/>
      <c r="K683" s="101"/>
      <c r="L683" s="101"/>
      <c r="M683" s="101"/>
      <c r="N683" s="101"/>
      <c r="AQ683" s="3"/>
    </row>
    <row r="684" spans="5:43" x14ac:dyDescent="0.25">
      <c r="J684" s="208" t="s">
        <v>969</v>
      </c>
      <c r="K684" s="208" t="s">
        <v>974</v>
      </c>
      <c r="L684" s="208" t="s">
        <v>975</v>
      </c>
      <c r="M684" s="208" t="s">
        <v>976</v>
      </c>
      <c r="N684" s="208" t="s">
        <v>977</v>
      </c>
      <c r="AQ684" s="3"/>
    </row>
    <row r="685" spans="5:43" x14ac:dyDescent="0.25">
      <c r="E685" s="104" t="s">
        <v>983</v>
      </c>
      <c r="G685" t="s">
        <v>207</v>
      </c>
      <c r="J685" s="101">
        <f>SUM(J680:J682)</f>
        <v>0</v>
      </c>
      <c r="K685" s="101">
        <f>SUM(K680:K682)</f>
        <v>3605.6209334044324</v>
      </c>
      <c r="L685" s="101">
        <f t="shared" ref="L685:N685" si="257">SUM(L680:L682)</f>
        <v>6357.9021555023337</v>
      </c>
      <c r="M685" s="101">
        <f t="shared" si="257"/>
        <v>7795.0061092494952</v>
      </c>
      <c r="N685" s="101">
        <f t="shared" si="257"/>
        <v>23802.728801843739</v>
      </c>
      <c r="AQ685" s="3"/>
    </row>
    <row r="686" spans="5:43" x14ac:dyDescent="0.25">
      <c r="J686" s="101"/>
      <c r="K686" s="101"/>
      <c r="L686" s="101"/>
      <c r="M686" s="101"/>
      <c r="N686" s="101"/>
      <c r="AQ686" s="3"/>
    </row>
    <row r="687" spans="5:43" x14ac:dyDescent="0.25">
      <c r="E687" t="s">
        <v>1027</v>
      </c>
      <c r="G687" t="s">
        <v>207</v>
      </c>
      <c r="H687" s="101">
        <f>SUM(J685:N685)</f>
        <v>41561.258000000002</v>
      </c>
      <c r="AQ687" s="3"/>
    </row>
    <row r="688" spans="5:43" x14ac:dyDescent="0.25">
      <c r="J688" s="208" t="s">
        <v>969</v>
      </c>
      <c r="K688" s="208" t="s">
        <v>974</v>
      </c>
      <c r="L688" s="208" t="s">
        <v>975</v>
      </c>
      <c r="M688" s="208" t="s">
        <v>976</v>
      </c>
      <c r="N688" s="208" t="s">
        <v>977</v>
      </c>
      <c r="AQ688" s="3"/>
    </row>
    <row r="689" spans="2:43" x14ac:dyDescent="0.25">
      <c r="E689" s="104" t="s">
        <v>982</v>
      </c>
      <c r="G689" t="s">
        <v>167</v>
      </c>
      <c r="J689" s="154">
        <f>IF($H687 &lt;&gt; 0, J685/$H687, 0)</f>
        <v>0</v>
      </c>
      <c r="K689" s="154">
        <f>IF($H687 &lt;&gt; 0, K685/$H687, 0)</f>
        <v>8.6754374311875548E-2</v>
      </c>
      <c r="L689" s="154">
        <f>IF($H687 &lt;&gt; 0, L685/$H687, 0)</f>
        <v>0.15297665329337079</v>
      </c>
      <c r="M689" s="154">
        <f>IF($H687 &lt;&gt; 0, M685/$H687, 0)</f>
        <v>0.18755462380973875</v>
      </c>
      <c r="N689" s="154">
        <f>IF($H687 &lt;&gt; 0, N685/$H687, 0)</f>
        <v>0.57271434858501491</v>
      </c>
      <c r="AQ689" s="3"/>
    </row>
    <row r="690" spans="2:43" x14ac:dyDescent="0.25">
      <c r="AQ690" s="3"/>
    </row>
    <row r="691" spans="2:43" x14ac:dyDescent="0.25">
      <c r="B691" s="70" t="s">
        <v>231</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232</v>
      </c>
      <c r="G693" s="6" t="s">
        <v>55</v>
      </c>
      <c r="H693" s="108">
        <f t="array" ref="H693">SUM(IF(ISERROR(H22:Y309), 1))</f>
        <v>0</v>
      </c>
    </row>
    <row r="695" spans="2:43" x14ac:dyDescent="0.25">
      <c r="B695" s="70" t="s">
        <v>106</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5" t="s">
        <v>143</v>
      </c>
      <c r="H5" s="102" t="s">
        <v>144</v>
      </c>
      <c r="I5" s="47"/>
      <c r="J5" s="102" t="s">
        <v>1159</v>
      </c>
      <c r="K5" s="102" t="s">
        <v>826</v>
      </c>
      <c r="L5" s="102" t="s">
        <v>1160</v>
      </c>
      <c r="M5" s="102" t="s">
        <v>827</v>
      </c>
      <c r="N5" s="102" t="s">
        <v>833</v>
      </c>
      <c r="O5" s="102" t="s">
        <v>834</v>
      </c>
      <c r="P5" s="102" t="s">
        <v>835</v>
      </c>
      <c r="Q5" s="102" t="s">
        <v>836</v>
      </c>
      <c r="R5" s="102" t="s">
        <v>828</v>
      </c>
      <c r="S5" s="102" t="s">
        <v>829</v>
      </c>
      <c r="T5" s="102" t="s">
        <v>830</v>
      </c>
      <c r="U5" s="102" t="s">
        <v>839</v>
      </c>
      <c r="V5" s="102" t="s">
        <v>831</v>
      </c>
      <c r="W5" s="102" t="s">
        <v>838</v>
      </c>
      <c r="X5" s="102" t="s">
        <v>832</v>
      </c>
      <c r="Y5" s="102" t="s">
        <v>837</v>
      </c>
      <c r="AA5" s="85" t="s">
        <v>145</v>
      </c>
    </row>
    <row r="7" spans="1:27" x14ac:dyDescent="0.25">
      <c r="B7" s="70" t="s">
        <v>10</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859</v>
      </c>
    </row>
    <row r="10" spans="1:27" x14ac:dyDescent="0.25">
      <c r="C10" s="71" t="s">
        <v>454</v>
      </c>
    </row>
    <row r="11" spans="1:27" x14ac:dyDescent="0.25">
      <c r="C11" s="71" t="s">
        <v>455</v>
      </c>
    </row>
    <row r="13" spans="1:27" x14ac:dyDescent="0.25">
      <c r="B13" s="70" t="s">
        <v>456</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856</v>
      </c>
      <c r="I15" t="s">
        <v>154</v>
      </c>
      <c r="AA15" t="s">
        <v>857</v>
      </c>
    </row>
    <row r="16" spans="1:27" x14ac:dyDescent="0.25">
      <c r="C16" s="71" t="s">
        <v>457</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458</v>
      </c>
      <c r="F20" s="210"/>
      <c r="G20" s="210" t="s">
        <v>459</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460</v>
      </c>
      <c r="I22" t="s">
        <v>154</v>
      </c>
      <c r="AA22" t="s">
        <v>461</v>
      </c>
    </row>
    <row r="23" spans="3:27" x14ac:dyDescent="0.25">
      <c r="E23" s="71" t="s">
        <v>462</v>
      </c>
      <c r="F23" s="71"/>
    </row>
    <row r="24" spans="3:27" x14ac:dyDescent="0.25">
      <c r="F24" s="93" t="s">
        <v>463</v>
      </c>
      <c r="G24" s="93" t="s">
        <v>147</v>
      </c>
      <c r="H24" s="212"/>
      <c r="I24" s="212"/>
      <c r="J24" s="167">
        <f>IF(J$20, 'General inputs'!$H16, 'General inputs'!$H21)</f>
        <v>783</v>
      </c>
      <c r="K24" s="167">
        <f>IF(K$20, 'General inputs'!$H16, 'General inputs'!$H21)</f>
        <v>783</v>
      </c>
      <c r="L24" s="167">
        <f>IF(L$20, 'General inputs'!$H16, 'General inputs'!$H21)</f>
        <v>783</v>
      </c>
      <c r="M24" s="167">
        <f>IF(M$20, 'General inputs'!$H16, 'General inputs'!$H21)</f>
        <v>783</v>
      </c>
      <c r="N24" s="167">
        <f>IF(N$20, 'General inputs'!$H16, 'General inputs'!$H21)</f>
        <v>783</v>
      </c>
      <c r="O24" s="167">
        <f>IF(O$20, 'General inputs'!$H16, 'General inputs'!$H21)</f>
        <v>783</v>
      </c>
      <c r="P24" s="167">
        <f>IF(P$20, 'General inputs'!$H16, 'General inputs'!$H21)</f>
        <v>783</v>
      </c>
      <c r="Q24" s="167">
        <f>IF(Q$20, 'General inputs'!$H16, 'General inputs'!$H21)</f>
        <v>255</v>
      </c>
      <c r="R24" s="167">
        <f>IF(R$20, 'General inputs'!$H16, 'General inputs'!$H21)</f>
        <v>783</v>
      </c>
      <c r="S24" s="167">
        <f>IF(S$20, 'General inputs'!$H16, 'General inputs'!$H21)</f>
        <v>783</v>
      </c>
      <c r="T24" s="167">
        <f>IF(T$20, 'General inputs'!$H16, 'General inputs'!$H21)</f>
        <v>783</v>
      </c>
      <c r="U24" s="167">
        <f>IF(U$20, 'General inputs'!$H16, 'General inputs'!$H21)</f>
        <v>783</v>
      </c>
      <c r="V24" s="167">
        <f>IF(V$20, 'General inputs'!$H16, 'General inputs'!$H21)</f>
        <v>783</v>
      </c>
      <c r="W24" s="167">
        <f>IF(W$20, 'General inputs'!$H16, 'General inputs'!$H21)</f>
        <v>783</v>
      </c>
      <c r="X24" s="167">
        <f>IF(X$20, 'General inputs'!$H16, 'General inputs'!$H21)</f>
        <v>783</v>
      </c>
      <c r="Y24" s="167">
        <f>IF(Y$20, 'General inputs'!$H16, 'General inputs'!$H21)</f>
        <v>783</v>
      </c>
    </row>
    <row r="25" spans="3:27" x14ac:dyDescent="0.25">
      <c r="F25" s="89" t="s">
        <v>464</v>
      </c>
      <c r="G25" t="s">
        <v>147</v>
      </c>
      <c r="H25" s="213"/>
      <c r="I25" s="213"/>
      <c r="J25" s="163">
        <f>IF(J$20, 'General inputs'!$H17, 'General inputs'!$H22)</f>
        <v>3417.5</v>
      </c>
      <c r="K25" s="163">
        <f>IF(K$20, 'General inputs'!$H17, 'General inputs'!$H22)</f>
        <v>3417.5</v>
      </c>
      <c r="L25" s="163">
        <f>IF(L$20, 'General inputs'!$H17, 'General inputs'!$H22)</f>
        <v>3417.5</v>
      </c>
      <c r="M25" s="163">
        <f>IF(M$20, 'General inputs'!$H17, 'General inputs'!$H22)</f>
        <v>3417.5</v>
      </c>
      <c r="N25" s="163">
        <f>IF(N$20, 'General inputs'!$H17, 'General inputs'!$H22)</f>
        <v>3417.5</v>
      </c>
      <c r="O25" s="163">
        <f>IF(O$20, 'General inputs'!$H17, 'General inputs'!$H22)</f>
        <v>3417.5</v>
      </c>
      <c r="P25" s="163">
        <f>IF(P$20, 'General inputs'!$H17, 'General inputs'!$H22)</f>
        <v>3417.5</v>
      </c>
      <c r="Q25" s="163">
        <f>IF(Q$20, 'General inputs'!$H17, 'General inputs'!$H22)</f>
        <v>3945.5</v>
      </c>
      <c r="R25" s="163">
        <f>IF(R$20, 'General inputs'!$H17, 'General inputs'!$H22)</f>
        <v>3417.5</v>
      </c>
      <c r="S25" s="163">
        <f>IF(S$20, 'General inputs'!$H17, 'General inputs'!$H22)</f>
        <v>3417.5</v>
      </c>
      <c r="T25" s="163">
        <f>IF(T$20, 'General inputs'!$H17, 'General inputs'!$H22)</f>
        <v>3417.5</v>
      </c>
      <c r="U25" s="163">
        <f>IF(U$20, 'General inputs'!$H17, 'General inputs'!$H22)</f>
        <v>3417.5</v>
      </c>
      <c r="V25" s="163">
        <f>IF(V$20, 'General inputs'!$H17, 'General inputs'!$H22)</f>
        <v>3417.5</v>
      </c>
      <c r="W25" s="163">
        <f>IF(W$20, 'General inputs'!$H17, 'General inputs'!$H22)</f>
        <v>3417.5</v>
      </c>
      <c r="X25" s="163">
        <f>IF(X$20, 'General inputs'!$H17, 'General inputs'!$H22)</f>
        <v>3417.5</v>
      </c>
      <c r="Y25" s="163">
        <f>IF(Y$20, 'General inputs'!$H17, 'General inputs'!$H22)</f>
        <v>3417.5</v>
      </c>
    </row>
    <row r="26" spans="3:27" x14ac:dyDescent="0.25">
      <c r="F26" s="96" t="s">
        <v>257</v>
      </c>
      <c r="G26" s="91" t="s">
        <v>147</v>
      </c>
      <c r="H26" s="214"/>
      <c r="I26" s="214"/>
      <c r="J26" s="168">
        <f>IF(J$20, 'General inputs'!$H18, 'General inputs'!$H23)</f>
        <v>4559.5</v>
      </c>
      <c r="K26" s="168">
        <f>IF(K$20, 'General inputs'!$H18, 'General inputs'!$H23)</f>
        <v>4559.5</v>
      </c>
      <c r="L26" s="168">
        <f>IF(L$20, 'General inputs'!$H18, 'General inputs'!$H23)</f>
        <v>4559.5</v>
      </c>
      <c r="M26" s="168">
        <f>IF(M$20, 'General inputs'!$H18, 'General inputs'!$H23)</f>
        <v>4559.5</v>
      </c>
      <c r="N26" s="168">
        <f>IF(N$20, 'General inputs'!$H18, 'General inputs'!$H23)</f>
        <v>4559.5</v>
      </c>
      <c r="O26" s="168">
        <f>IF(O$20, 'General inputs'!$H18, 'General inputs'!$H23)</f>
        <v>4559.5</v>
      </c>
      <c r="P26" s="168">
        <f>IF(P$20, 'General inputs'!$H18, 'General inputs'!$H23)</f>
        <v>4559.5</v>
      </c>
      <c r="Q26" s="168">
        <f>IF(Q$20, 'General inputs'!$H18, 'General inputs'!$H23)</f>
        <v>4559.5</v>
      </c>
      <c r="R26" s="168">
        <f>IF(R$20, 'General inputs'!$H18, 'General inputs'!$H23)</f>
        <v>4559.5</v>
      </c>
      <c r="S26" s="168">
        <f>IF(S$20, 'General inputs'!$H18, 'General inputs'!$H23)</f>
        <v>4559.5</v>
      </c>
      <c r="T26" s="168">
        <f>IF(T$20, 'General inputs'!$H18, 'General inputs'!$H23)</f>
        <v>4559.5</v>
      </c>
      <c r="U26" s="168">
        <f>IF(U$20, 'General inputs'!$H18, 'General inputs'!$H23)</f>
        <v>4559.5</v>
      </c>
      <c r="V26" s="168">
        <f>IF(V$20, 'General inputs'!$H18, 'General inputs'!$H23)</f>
        <v>4559.5</v>
      </c>
      <c r="W26" s="168">
        <f>IF(W$20, 'General inputs'!$H18, 'General inputs'!$H23)</f>
        <v>4559.5</v>
      </c>
      <c r="X26" s="168">
        <f>IF(X$20, 'General inputs'!$H18, 'General inputs'!$H23)</f>
        <v>4559.5</v>
      </c>
      <c r="Y26" s="168">
        <f>IF(Y$20, 'General inputs'!$H18, 'General inputs'!$H23)</f>
        <v>4559.5</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465</v>
      </c>
      <c r="J30" s="101"/>
      <c r="K30" s="101"/>
      <c r="L30" s="101"/>
      <c r="M30" s="101"/>
      <c r="N30" s="101"/>
      <c r="O30" s="101"/>
      <c r="P30" s="101"/>
      <c r="Q30" s="101"/>
      <c r="R30" s="101"/>
      <c r="S30" s="101"/>
      <c r="T30" s="101"/>
      <c r="U30" s="101"/>
      <c r="V30" s="101"/>
      <c r="W30" s="101"/>
      <c r="X30" s="101"/>
      <c r="Y30" s="101"/>
    </row>
    <row r="31" spans="3:27" x14ac:dyDescent="0.25">
      <c r="F31" s="93" t="s">
        <v>156</v>
      </c>
      <c r="G31" s="93" t="s">
        <v>207</v>
      </c>
      <c r="H31" s="90"/>
      <c r="I31" s="90"/>
      <c r="J31" s="167">
        <f>'Volume adjustments'!J238</f>
        <v>728623.55510337406</v>
      </c>
      <c r="K31" s="167">
        <f>'Volume adjustments'!K238</f>
        <v>584.41884165229453</v>
      </c>
      <c r="L31" s="167">
        <f>'Volume adjustments'!L238</f>
        <v>191647.83333773396</v>
      </c>
      <c r="M31" s="167">
        <f>'Volume adjustments'!M238</f>
        <v>483.15300000000002</v>
      </c>
      <c r="N31" s="167">
        <f>'Volume adjustments'!N238</f>
        <v>253542.48909705409</v>
      </c>
      <c r="O31" s="167">
        <f>'Volume adjustments'!O238</f>
        <v>27035.930895394442</v>
      </c>
      <c r="P31" s="167">
        <f>'Volume adjustments'!P238</f>
        <v>304152.88104155735</v>
      </c>
      <c r="Q31" s="167">
        <f>'Volume adjustments'!Q238</f>
        <v>10432.607991329018</v>
      </c>
      <c r="R31" s="167">
        <f>'Volume adjustments'!R238</f>
        <v>13715.66896284854</v>
      </c>
      <c r="S31" s="167">
        <f>'Volume adjustments'!S238</f>
        <v>52.1242510546167</v>
      </c>
      <c r="T31" s="167">
        <f>'Volume adjustments'!T238</f>
        <v>5844.5739999999987</v>
      </c>
      <c r="U31" s="167">
        <f>'Volume adjustments'!U238</f>
        <v>0</v>
      </c>
      <c r="V31" s="167">
        <f>'Volume adjustments'!V238</f>
        <v>64.59099999999998</v>
      </c>
      <c r="W31" s="167">
        <f>'Volume adjustments'!W238</f>
        <v>0</v>
      </c>
      <c r="X31" s="167">
        <f>'Volume adjustments'!X238</f>
        <v>115415.10300000002</v>
      </c>
      <c r="Y31" s="167">
        <f>'Volume adjustments'!Y238</f>
        <v>0</v>
      </c>
    </row>
    <row r="32" spans="3:27" x14ac:dyDescent="0.25">
      <c r="F32" s="89" t="s">
        <v>157</v>
      </c>
      <c r="G32" s="89" t="s">
        <v>207</v>
      </c>
      <c r="J32" s="163">
        <f>'Volume adjustments'!J249</f>
        <v>2538014.9194967723</v>
      </c>
      <c r="K32" s="163">
        <f>'Volume adjustments'!K249</f>
        <v>16256.552449380286</v>
      </c>
      <c r="L32" s="163">
        <f>'Volume adjustments'!L249</f>
        <v>994278.62468508841</v>
      </c>
      <c r="M32" s="163">
        <f>'Volume adjustments'!M249</f>
        <v>7645.8209999999999</v>
      </c>
      <c r="N32" s="163">
        <f>'Volume adjustments'!N249</f>
        <v>1218235.1326339836</v>
      </c>
      <c r="O32" s="163">
        <f>'Volume adjustments'!O249</f>
        <v>125880.78342208984</v>
      </c>
      <c r="P32" s="163">
        <f>'Volume adjustments'!P249</f>
        <v>1419771.6743750547</v>
      </c>
      <c r="Q32" s="163">
        <f>'Volume adjustments'!Q249</f>
        <v>61266.868596538225</v>
      </c>
      <c r="R32" s="163">
        <f>'Volume adjustments'!R249</f>
        <v>74880.496412313048</v>
      </c>
      <c r="S32" s="163">
        <f>'Volume adjustments'!S249</f>
        <v>227.37680998266927</v>
      </c>
      <c r="T32" s="163">
        <f>'Volume adjustments'!T249</f>
        <v>27694.664000000004</v>
      </c>
      <c r="U32" s="163">
        <f>'Volume adjustments'!U249</f>
        <v>0</v>
      </c>
      <c r="V32" s="163">
        <f>'Volume adjustments'!V249</f>
        <v>326.78199999999998</v>
      </c>
      <c r="W32" s="163">
        <f>'Volume adjustments'!W249</f>
        <v>0</v>
      </c>
      <c r="X32" s="163">
        <f>'Volume adjustments'!X249</f>
        <v>421753.54499999998</v>
      </c>
      <c r="Y32" s="163">
        <f>'Volume adjustments'!Y249</f>
        <v>0</v>
      </c>
    </row>
    <row r="33" spans="3:27" x14ac:dyDescent="0.25">
      <c r="F33" s="89" t="s">
        <v>158</v>
      </c>
      <c r="G33" s="89" t="s">
        <v>207</v>
      </c>
      <c r="J33" s="163">
        <f>'Volume adjustments'!J260</f>
        <v>2426681.8099287972</v>
      </c>
      <c r="K33" s="163">
        <f>'Volume adjustments'!K260</f>
        <v>163502.90873996823</v>
      </c>
      <c r="L33" s="163">
        <f>'Volume adjustments'!L260</f>
        <v>822090.85772019741</v>
      </c>
      <c r="M33" s="163">
        <f>'Volume adjustments'!M260</f>
        <v>33432.284</v>
      </c>
      <c r="N33" s="163">
        <f>'Volume adjustments'!N260</f>
        <v>1084036.7091787858</v>
      </c>
      <c r="O33" s="163">
        <f>'Volume adjustments'!O260</f>
        <v>127595.88908236986</v>
      </c>
      <c r="P33" s="163">
        <f>'Volume adjustments'!P260</f>
        <v>1563476.3053041713</v>
      </c>
      <c r="Q33" s="163">
        <f>'Volume adjustments'!Q260</f>
        <v>139201.6946331106</v>
      </c>
      <c r="R33" s="163">
        <f>'Volume adjustments'!R260</f>
        <v>34204.372287182821</v>
      </c>
      <c r="S33" s="163">
        <f>'Volume adjustments'!S260</f>
        <v>201.46913946310823</v>
      </c>
      <c r="T33" s="163">
        <f>'Volume adjustments'!T260</f>
        <v>29331.213000000003</v>
      </c>
      <c r="U33" s="163">
        <f>'Volume adjustments'!U260</f>
        <v>0</v>
      </c>
      <c r="V33" s="163">
        <f>'Volume adjustments'!V260</f>
        <v>309.74</v>
      </c>
      <c r="W33" s="163">
        <f>'Volume adjustments'!W260</f>
        <v>0</v>
      </c>
      <c r="X33" s="163">
        <f>'Volume adjustments'!X260</f>
        <v>491598.924</v>
      </c>
      <c r="Y33" s="163">
        <f>'Volume adjustments'!Y260</f>
        <v>0</v>
      </c>
    </row>
    <row r="34" spans="3:27" x14ac:dyDescent="0.25">
      <c r="F34" s="215" t="s">
        <v>453</v>
      </c>
      <c r="G34" s="215" t="s">
        <v>207</v>
      </c>
      <c r="H34" s="151"/>
      <c r="I34" s="151"/>
      <c r="J34" s="216">
        <f t="shared" ref="J34:Y34" si="0">SUM(J31:J33)</f>
        <v>5693320.2845289437</v>
      </c>
      <c r="K34" s="216">
        <f t="shared" si="0"/>
        <v>180343.88003100082</v>
      </c>
      <c r="L34" s="216">
        <f t="shared" si="0"/>
        <v>2008017.3157430198</v>
      </c>
      <c r="M34" s="216">
        <f t="shared" si="0"/>
        <v>41561.258000000002</v>
      </c>
      <c r="N34" s="216">
        <f t="shared" si="0"/>
        <v>2555814.3309098235</v>
      </c>
      <c r="O34" s="216">
        <f t="shared" si="0"/>
        <v>280512.60339985415</v>
      </c>
      <c r="P34" s="216">
        <f t="shared" si="0"/>
        <v>3287400.8607207835</v>
      </c>
      <c r="Q34" s="216">
        <f t="shared" si="0"/>
        <v>210901.17122097785</v>
      </c>
      <c r="R34" s="216">
        <f t="shared" si="0"/>
        <v>122800.53766234442</v>
      </c>
      <c r="S34" s="216">
        <f t="shared" si="0"/>
        <v>480.97020050039418</v>
      </c>
      <c r="T34" s="216">
        <f t="shared" si="0"/>
        <v>62870.451000000008</v>
      </c>
      <c r="U34" s="216">
        <f t="shared" si="0"/>
        <v>0</v>
      </c>
      <c r="V34" s="216">
        <f t="shared" si="0"/>
        <v>701.11299999999994</v>
      </c>
      <c r="W34" s="216">
        <f t="shared" si="0"/>
        <v>0</v>
      </c>
      <c r="X34" s="216">
        <f t="shared" si="0"/>
        <v>1028767.572</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843</v>
      </c>
      <c r="F38" s="89"/>
      <c r="G38" s="89" t="s">
        <v>149</v>
      </c>
      <c r="I38" t="s">
        <v>154</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855</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844</v>
      </c>
      <c r="J40" s="101"/>
      <c r="K40" s="101"/>
      <c r="L40" s="101"/>
      <c r="M40" s="101"/>
      <c r="N40" s="101"/>
      <c r="O40" s="101"/>
      <c r="P40" s="101"/>
      <c r="Q40" s="101"/>
      <c r="R40" s="101"/>
      <c r="S40" s="101"/>
      <c r="T40" s="101"/>
      <c r="U40" s="101"/>
      <c r="V40" s="101"/>
      <c r="W40" s="101"/>
      <c r="X40" s="101"/>
      <c r="Y40" s="101"/>
    </row>
    <row r="41" spans="3:27" x14ac:dyDescent="0.25">
      <c r="E41" s="71" t="s">
        <v>462</v>
      </c>
    </row>
    <row r="42" spans="3:27" x14ac:dyDescent="0.25">
      <c r="F42" s="93" t="s">
        <v>463</v>
      </c>
      <c r="G42" s="93" t="s">
        <v>167</v>
      </c>
      <c r="H42" s="90"/>
      <c r="I42" s="90"/>
      <c r="J42" s="196">
        <f t="shared" ref="J42:P44" si="1">SUMIF($J$38:$Y$38, J$38, $J31:$Y31) / SUMIF($J$38:$Y$38, J$38, $J$34:$Y$34)</f>
        <v>0.12414873467653538</v>
      </c>
      <c r="K42" s="196">
        <f t="shared" si="1"/>
        <v>0.12414873467653538</v>
      </c>
      <c r="L42" s="196">
        <f t="shared" si="1"/>
        <v>9.3741703196504877E-2</v>
      </c>
      <c r="M42" s="196">
        <f t="shared" si="1"/>
        <v>9.3741703196504877E-2</v>
      </c>
      <c r="N42" s="196">
        <f t="shared" si="1"/>
        <v>9.9202233132012194E-2</v>
      </c>
      <c r="O42" s="196">
        <f t="shared" si="1"/>
        <v>9.6380449818350297E-2</v>
      </c>
      <c r="P42" s="196">
        <f t="shared" si="1"/>
        <v>9.2520776725376258E-2</v>
      </c>
      <c r="Q42" s="219"/>
      <c r="R42" s="219"/>
      <c r="S42" s="219"/>
      <c r="T42" s="219"/>
      <c r="U42" s="219"/>
      <c r="V42" s="219"/>
      <c r="W42" s="219"/>
      <c r="X42" s="219"/>
      <c r="Y42" s="219"/>
    </row>
    <row r="43" spans="3:27" x14ac:dyDescent="0.25">
      <c r="F43" s="89" t="s">
        <v>464</v>
      </c>
      <c r="G43" s="89" t="s">
        <v>167</v>
      </c>
      <c r="J43" s="188">
        <f t="shared" si="1"/>
        <v>0.43486849101075886</v>
      </c>
      <c r="K43" s="188">
        <f t="shared" si="1"/>
        <v>0.43486849101075886</v>
      </c>
      <c r="L43" s="188">
        <f t="shared" si="1"/>
        <v>0.48884412557813539</v>
      </c>
      <c r="M43" s="188">
        <f t="shared" si="1"/>
        <v>0.48884412557813539</v>
      </c>
      <c r="N43" s="188">
        <f t="shared" si="1"/>
        <v>0.47665243828581005</v>
      </c>
      <c r="O43" s="188">
        <f t="shared" si="1"/>
        <v>0.44875268311083411</v>
      </c>
      <c r="P43" s="188">
        <f t="shared" si="1"/>
        <v>0.43188273488002943</v>
      </c>
      <c r="Q43" s="98"/>
      <c r="R43" s="98"/>
      <c r="S43" s="98"/>
      <c r="T43" s="98"/>
      <c r="U43" s="98"/>
      <c r="V43" s="98"/>
      <c r="W43" s="98"/>
      <c r="X43" s="98"/>
      <c r="Y43" s="98"/>
    </row>
    <row r="44" spans="3:27" x14ac:dyDescent="0.25">
      <c r="F44" s="96" t="s">
        <v>257</v>
      </c>
      <c r="G44" s="96" t="s">
        <v>167</v>
      </c>
      <c r="H44" s="91"/>
      <c r="I44" s="91"/>
      <c r="J44" s="197">
        <f t="shared" si="1"/>
        <v>0.44098277431270577</v>
      </c>
      <c r="K44" s="197">
        <f t="shared" si="1"/>
        <v>0.44098277431270577</v>
      </c>
      <c r="L44" s="197">
        <f t="shared" si="1"/>
        <v>0.41741417122535973</v>
      </c>
      <c r="M44" s="197">
        <f t="shared" si="1"/>
        <v>0.41741417122535973</v>
      </c>
      <c r="N44" s="197">
        <f t="shared" si="1"/>
        <v>0.42414532858217774</v>
      </c>
      <c r="O44" s="197">
        <f t="shared" si="1"/>
        <v>0.45486686707081553</v>
      </c>
      <c r="P44" s="197">
        <f t="shared" si="1"/>
        <v>0.47559648839459429</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845</v>
      </c>
      <c r="F46" s="89"/>
      <c r="G46" s="89"/>
    </row>
    <row r="47" spans="3:27" x14ac:dyDescent="0.25">
      <c r="E47" s="71" t="s">
        <v>462</v>
      </c>
    </row>
    <row r="48" spans="3:27" x14ac:dyDescent="0.25">
      <c r="F48" s="93" t="s">
        <v>463</v>
      </c>
      <c r="G48" s="93" t="s">
        <v>167</v>
      </c>
      <c r="H48" s="90"/>
      <c r="I48" s="90"/>
      <c r="J48" s="196">
        <f>IF(ISNUMBER(J$38), J42, IF(J$34 = 0, 0, J31 / J$34))</f>
        <v>0.12414873467653538</v>
      </c>
      <c r="K48" s="196">
        <f t="shared" ref="K48:Y48" si="2">IF(ISNUMBER(K$38), K42, IF(K$34 = 0, 0, K31 / K$34))</f>
        <v>0.12414873467653538</v>
      </c>
      <c r="L48" s="196">
        <f t="shared" si="2"/>
        <v>9.3741703196504877E-2</v>
      </c>
      <c r="M48" s="196">
        <f t="shared" si="2"/>
        <v>9.3741703196504877E-2</v>
      </c>
      <c r="N48" s="196">
        <f t="shared" si="2"/>
        <v>9.9202233132012194E-2</v>
      </c>
      <c r="O48" s="196">
        <f t="shared" si="2"/>
        <v>9.6380449818350297E-2</v>
      </c>
      <c r="P48" s="196">
        <f t="shared" si="2"/>
        <v>9.2520776725376258E-2</v>
      </c>
      <c r="Q48" s="196">
        <f t="shared" si="2"/>
        <v>4.9466809173847347E-2</v>
      </c>
      <c r="R48" s="196">
        <f t="shared" si="2"/>
        <v>0.11169062631111196</v>
      </c>
      <c r="S48" s="196">
        <f t="shared" si="2"/>
        <v>0.10837314037415917</v>
      </c>
      <c r="T48" s="196">
        <f t="shared" si="2"/>
        <v>9.2962177096518647E-2</v>
      </c>
      <c r="U48" s="196">
        <f t="shared" si="2"/>
        <v>0</v>
      </c>
      <c r="V48" s="196">
        <f t="shared" si="2"/>
        <v>9.2126376204691662E-2</v>
      </c>
      <c r="W48" s="196">
        <f t="shared" si="2"/>
        <v>0</v>
      </c>
      <c r="X48" s="196">
        <f t="shared" si="2"/>
        <v>0.11218773427667879</v>
      </c>
      <c r="Y48" s="196">
        <f t="shared" si="2"/>
        <v>0</v>
      </c>
    </row>
    <row r="49" spans="2:27" x14ac:dyDescent="0.25">
      <c r="F49" s="89" t="s">
        <v>464</v>
      </c>
      <c r="G49" s="89" t="s">
        <v>167</v>
      </c>
      <c r="J49" s="188">
        <f t="shared" ref="J49:Y49" si="3">IF(ISNUMBER(J$38), J43, IF(J$34 = 0, 0, J32 / J$34))</f>
        <v>0.43486849101075886</v>
      </c>
      <c r="K49" s="188">
        <f t="shared" si="3"/>
        <v>0.43486849101075886</v>
      </c>
      <c r="L49" s="188">
        <f t="shared" si="3"/>
        <v>0.48884412557813539</v>
      </c>
      <c r="M49" s="188">
        <f t="shared" si="3"/>
        <v>0.48884412557813539</v>
      </c>
      <c r="N49" s="188">
        <f t="shared" si="3"/>
        <v>0.47665243828581005</v>
      </c>
      <c r="O49" s="188">
        <f t="shared" si="3"/>
        <v>0.44875268311083411</v>
      </c>
      <c r="P49" s="188">
        <f t="shared" si="3"/>
        <v>0.43188273488002943</v>
      </c>
      <c r="Q49" s="188">
        <f t="shared" si="3"/>
        <v>0.29050037153347091</v>
      </c>
      <c r="R49" s="188">
        <f t="shared" si="3"/>
        <v>0.60977335961025214</v>
      </c>
      <c r="S49" s="188">
        <f t="shared" si="3"/>
        <v>0.47274614881776428</v>
      </c>
      <c r="T49" s="188">
        <f t="shared" si="3"/>
        <v>0.44050366363683313</v>
      </c>
      <c r="U49" s="188">
        <f t="shared" si="3"/>
        <v>0</v>
      </c>
      <c r="V49" s="188">
        <f t="shared" si="3"/>
        <v>0.466090344923001</v>
      </c>
      <c r="W49" s="188">
        <f t="shared" si="3"/>
        <v>0</v>
      </c>
      <c r="X49" s="188">
        <f t="shared" si="3"/>
        <v>0.40995999142943435</v>
      </c>
      <c r="Y49" s="188">
        <f t="shared" si="3"/>
        <v>0</v>
      </c>
    </row>
    <row r="50" spans="2:27" x14ac:dyDescent="0.25">
      <c r="F50" s="96" t="s">
        <v>257</v>
      </c>
      <c r="G50" s="96" t="s">
        <v>167</v>
      </c>
      <c r="H50" s="91"/>
      <c r="I50" s="91"/>
      <c r="J50" s="197">
        <f t="shared" ref="J50:Y50" si="4">IF(ISNUMBER(J$38), J44, IF(J$34 = 0, 0, J33 / J$34))</f>
        <v>0.44098277431270577</v>
      </c>
      <c r="K50" s="197">
        <f t="shared" si="4"/>
        <v>0.44098277431270577</v>
      </c>
      <c r="L50" s="197">
        <f t="shared" si="4"/>
        <v>0.41741417122535973</v>
      </c>
      <c r="M50" s="197">
        <f t="shared" si="4"/>
        <v>0.41741417122535973</v>
      </c>
      <c r="N50" s="197">
        <f t="shared" si="4"/>
        <v>0.42414532858217774</v>
      </c>
      <c r="O50" s="197">
        <f t="shared" si="4"/>
        <v>0.45486686707081553</v>
      </c>
      <c r="P50" s="197">
        <f t="shared" si="4"/>
        <v>0.47559648839459429</v>
      </c>
      <c r="Q50" s="197">
        <f t="shared" si="4"/>
        <v>0.66003281929268176</v>
      </c>
      <c r="R50" s="197">
        <f t="shared" si="4"/>
        <v>0.27853601407863587</v>
      </c>
      <c r="S50" s="197">
        <f t="shared" si="4"/>
        <v>0.4188807108080766</v>
      </c>
      <c r="T50" s="197">
        <f t="shared" si="4"/>
        <v>0.46653415926664815</v>
      </c>
      <c r="U50" s="197">
        <f t="shared" si="4"/>
        <v>0</v>
      </c>
      <c r="V50" s="197">
        <f t="shared" si="4"/>
        <v>0.44178327887230734</v>
      </c>
      <c r="W50" s="197">
        <f t="shared" si="4"/>
        <v>0</v>
      </c>
      <c r="X50" s="197">
        <f t="shared" si="4"/>
        <v>0.47785227429388683</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466</v>
      </c>
      <c r="G54" t="s">
        <v>283</v>
      </c>
      <c r="H54" s="101"/>
      <c r="I54" s="101"/>
      <c r="J54" s="101">
        <f t="shared" ref="J54:Y54" si="5">J48 * hours_in_year / J24</f>
        <v>1.3889436982968708</v>
      </c>
      <c r="K54" s="101">
        <f t="shared" si="5"/>
        <v>1.3889436982968708</v>
      </c>
      <c r="L54" s="101">
        <f t="shared" si="5"/>
        <v>1.0487577522367597</v>
      </c>
      <c r="M54" s="101">
        <f t="shared" si="5"/>
        <v>1.0487577522367597</v>
      </c>
      <c r="N54" s="101">
        <f t="shared" si="5"/>
        <v>1.1098487384884124</v>
      </c>
      <c r="O54" s="101">
        <f t="shared" si="5"/>
        <v>1.0782793619524247</v>
      </c>
      <c r="P54" s="101">
        <f t="shared" si="5"/>
        <v>1.0350983449735582</v>
      </c>
      <c r="Q54" s="101">
        <f t="shared" si="5"/>
        <v>1.6993303857368736</v>
      </c>
      <c r="R54" s="101">
        <f t="shared" si="5"/>
        <v>1.249565627695199</v>
      </c>
      <c r="S54" s="101">
        <f t="shared" si="5"/>
        <v>1.2124504593584091</v>
      </c>
      <c r="T54" s="101">
        <f t="shared" si="5"/>
        <v>1.0400366173250362</v>
      </c>
      <c r="U54" s="101">
        <f t="shared" si="5"/>
        <v>0</v>
      </c>
      <c r="V54" s="101">
        <f t="shared" si="5"/>
        <v>1.0306858947038302</v>
      </c>
      <c r="W54" s="101">
        <f t="shared" si="5"/>
        <v>0</v>
      </c>
      <c r="X54" s="101">
        <f t="shared" si="5"/>
        <v>1.2551271420992416</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467</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468</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241</v>
      </c>
      <c r="G62" s="89" t="s">
        <v>167</v>
      </c>
      <c r="J62" s="150">
        <f>'Inputs by customer type'!J15</f>
        <v>0.45400000000000001</v>
      </c>
      <c r="K62" s="150">
        <f>'Inputs by customer type'!K15</f>
        <v>8.6333333333333331E-2</v>
      </c>
      <c r="L62" s="150">
        <f>'Inputs by customer type'!L15</f>
        <v>0.41799999999999998</v>
      </c>
      <c r="M62" s="150">
        <f>'Inputs by customer type'!M15</f>
        <v>0.28733333333333338</v>
      </c>
      <c r="N62" s="150">
        <f>'Inputs by customer type'!N15</f>
        <v>0.54166666666666663</v>
      </c>
      <c r="O62" s="150">
        <f>'Inputs by customer type'!O15</f>
        <v>0.67766666666666664</v>
      </c>
      <c r="P62" s="150">
        <f>'Inputs by customer type'!P15</f>
        <v>0.73866666666666658</v>
      </c>
      <c r="Q62" s="150">
        <f>'Inputs by customer type'!Q15</f>
        <v>0.48833333333333329</v>
      </c>
      <c r="R62" s="98"/>
      <c r="S62" s="98"/>
      <c r="T62" s="98"/>
      <c r="U62" s="98"/>
      <c r="V62" s="98"/>
      <c r="W62" s="98"/>
      <c r="X62" s="98"/>
      <c r="Y62" s="98"/>
    </row>
    <row r="63" spans="2:27" x14ac:dyDescent="0.25">
      <c r="E63" s="89" t="s">
        <v>243</v>
      </c>
      <c r="G63" s="89" t="s">
        <v>167</v>
      </c>
      <c r="J63" s="150">
        <f>'Inputs by customer type'!J16</f>
        <v>0.88099999999999989</v>
      </c>
      <c r="K63" s="98"/>
      <c r="L63" s="150">
        <f>'Inputs by customer type'!L16</f>
        <v>0.69600000000000006</v>
      </c>
      <c r="M63" s="98"/>
      <c r="N63" s="150">
        <f>'Inputs by customer type'!N16</f>
        <v>0.81866666666666665</v>
      </c>
      <c r="O63" s="150">
        <f>'Inputs by customer type'!O16</f>
        <v>0.84266666666666667</v>
      </c>
      <c r="P63" s="150">
        <f>'Inputs by customer type'!P16</f>
        <v>0.86866666666666659</v>
      </c>
      <c r="Q63" s="150">
        <f>'Inputs by customer type'!Q16</f>
        <v>0.90766666666666662</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846</v>
      </c>
      <c r="E67" s="89"/>
      <c r="F67" s="89"/>
      <c r="G67" s="89"/>
    </row>
    <row r="68" spans="3:27" x14ac:dyDescent="0.25">
      <c r="D68" s="60"/>
      <c r="E68" s="89"/>
      <c r="F68" s="89"/>
      <c r="G68" s="89"/>
    </row>
    <row r="69" spans="3:27" x14ac:dyDescent="0.25">
      <c r="D69" s="60"/>
      <c r="E69" s="89" t="s">
        <v>847</v>
      </c>
      <c r="F69" s="89"/>
      <c r="G69" s="89" t="s">
        <v>172</v>
      </c>
      <c r="J69" s="101">
        <f t="shared" ref="J69:P69" si="6">J34 / hours_in_year</f>
        <v>649.92240690969675</v>
      </c>
      <c r="K69" s="101">
        <f t="shared" si="6"/>
        <v>20.587200916780915</v>
      </c>
      <c r="L69" s="101">
        <f t="shared" si="6"/>
        <v>229.22572097523056</v>
      </c>
      <c r="M69" s="101">
        <f t="shared" si="6"/>
        <v>4.7444358447488586</v>
      </c>
      <c r="N69" s="101">
        <f t="shared" si="6"/>
        <v>291.75962681618989</v>
      </c>
      <c r="O69" s="101">
        <f t="shared" si="6"/>
        <v>32.021986689481068</v>
      </c>
      <c r="P69" s="101">
        <f t="shared" si="6"/>
        <v>375.2740708585369</v>
      </c>
      <c r="Q69" s="218"/>
      <c r="R69" s="218"/>
      <c r="S69" s="218"/>
      <c r="T69" s="218"/>
      <c r="U69" s="218"/>
      <c r="V69" s="218"/>
      <c r="W69" s="218"/>
      <c r="X69" s="218"/>
      <c r="Y69" s="218"/>
    </row>
    <row r="70" spans="3:27" x14ac:dyDescent="0.25">
      <c r="D70" s="60"/>
      <c r="E70" s="89"/>
      <c r="F70" s="89"/>
      <c r="G70" s="89"/>
    </row>
    <row r="71" spans="3:27" x14ac:dyDescent="0.25">
      <c r="D71" s="60"/>
      <c r="E71" s="89" t="s">
        <v>469</v>
      </c>
      <c r="F71" s="89"/>
      <c r="G71" s="89" t="s">
        <v>172</v>
      </c>
      <c r="J71" s="101">
        <f t="shared" ref="J71:P71" si="7">IF(J62 = 0, 0, J34 / (J62 * hours_in_year))</f>
        <v>1431.5471517834731</v>
      </c>
      <c r="K71" s="101">
        <f t="shared" si="7"/>
        <v>238.46178668086003</v>
      </c>
      <c r="L71" s="101">
        <f t="shared" si="7"/>
        <v>548.38689228524061</v>
      </c>
      <c r="M71" s="101">
        <f t="shared" si="7"/>
        <v>16.511957696341732</v>
      </c>
      <c r="N71" s="101">
        <f t="shared" si="7"/>
        <v>538.63315719911986</v>
      </c>
      <c r="O71" s="101">
        <f t="shared" si="7"/>
        <v>47.253300574738418</v>
      </c>
      <c r="P71" s="101">
        <f t="shared" si="7"/>
        <v>508.04251470018539</v>
      </c>
      <c r="Q71" s="218"/>
      <c r="R71" s="218"/>
      <c r="S71" s="218"/>
      <c r="T71" s="218"/>
      <c r="U71" s="218"/>
      <c r="V71" s="218"/>
      <c r="W71" s="218"/>
      <c r="X71" s="218"/>
      <c r="Y71" s="218"/>
    </row>
    <row r="72" spans="3:27" x14ac:dyDescent="0.25">
      <c r="D72" s="60"/>
      <c r="E72" s="89"/>
      <c r="F72" s="89"/>
      <c r="G72" s="89"/>
    </row>
    <row r="73" spans="3:27" x14ac:dyDescent="0.25">
      <c r="D73" s="60"/>
      <c r="E73" s="89" t="s">
        <v>848</v>
      </c>
      <c r="F73" s="89"/>
      <c r="G73" s="89" t="s">
        <v>172</v>
      </c>
      <c r="J73" s="101">
        <f>J71 * J63</f>
        <v>1261.1930407212396</v>
      </c>
      <c r="K73" s="101">
        <f t="shared" ref="K73:M73" si="8">K71 * K63</f>
        <v>0</v>
      </c>
      <c r="L73" s="101">
        <f t="shared" si="8"/>
        <v>381.67727703052748</v>
      </c>
      <c r="M73" s="101">
        <f t="shared" si="8"/>
        <v>0</v>
      </c>
      <c r="N73" s="101">
        <f t="shared" ref="N73:P73" si="9">N71 * N63</f>
        <v>440.96101136034611</v>
      </c>
      <c r="O73" s="101">
        <f t="shared" si="9"/>
        <v>39.818781284312905</v>
      </c>
      <c r="P73" s="101">
        <f t="shared" si="9"/>
        <v>441.31959776956103</v>
      </c>
      <c r="Q73" s="218"/>
      <c r="R73" s="218"/>
      <c r="S73" s="218"/>
      <c r="T73" s="218"/>
      <c r="U73" s="218"/>
      <c r="V73" s="218"/>
      <c r="W73" s="218"/>
      <c r="X73" s="218"/>
      <c r="Y73" s="218"/>
    </row>
    <row r="74" spans="3:27" x14ac:dyDescent="0.25">
      <c r="D74" s="60"/>
      <c r="E74" s="89"/>
      <c r="F74" s="89"/>
      <c r="G74" s="89"/>
    </row>
    <row r="75" spans="3:27" x14ac:dyDescent="0.25">
      <c r="D75" s="60" t="s">
        <v>849</v>
      </c>
      <c r="E75" s="89"/>
      <c r="F75" s="89"/>
      <c r="G75" s="89"/>
    </row>
    <row r="76" spans="3:27" x14ac:dyDescent="0.25">
      <c r="D76" s="60"/>
      <c r="E76" s="89"/>
      <c r="F76" s="89"/>
      <c r="G76" s="89"/>
    </row>
    <row r="77" spans="3:27" x14ac:dyDescent="0.25">
      <c r="D77" s="60"/>
      <c r="E77" s="89" t="s">
        <v>241</v>
      </c>
      <c r="F77" s="89"/>
      <c r="G77" s="89" t="s">
        <v>167</v>
      </c>
      <c r="J77" s="188">
        <f t="shared" ref="J77:P77" si="10">SUMIF($J$38:$Y$38, J$38, $J$69:$Y$69) / SUMIF($J$38:$Y$38, J$38, $J$71:$Y$71)</f>
        <v>0.4015006101961639</v>
      </c>
      <c r="K77" s="188">
        <f t="shared" si="10"/>
        <v>0.4015006101961639</v>
      </c>
      <c r="L77" s="188">
        <f t="shared" si="10"/>
        <v>0.41418062158846253</v>
      </c>
      <c r="M77" s="188">
        <f t="shared" si="10"/>
        <v>0.41418062158846253</v>
      </c>
      <c r="N77" s="188">
        <f t="shared" si="10"/>
        <v>0.54166666666666663</v>
      </c>
      <c r="O77" s="188">
        <f t="shared" si="10"/>
        <v>0.67766666666666664</v>
      </c>
      <c r="P77" s="188">
        <f t="shared" si="10"/>
        <v>0.73866666666666658</v>
      </c>
      <c r="Q77" s="218"/>
      <c r="R77" s="218"/>
      <c r="S77" s="218"/>
      <c r="T77" s="218"/>
      <c r="U77" s="218"/>
      <c r="V77" s="218"/>
      <c r="W77" s="218"/>
      <c r="X77" s="218"/>
      <c r="Y77" s="218"/>
    </row>
    <row r="78" spans="3:27" x14ac:dyDescent="0.25">
      <c r="D78" s="60"/>
      <c r="E78" s="89"/>
      <c r="F78" s="89"/>
      <c r="G78" s="89"/>
    </row>
    <row r="79" spans="3:27" x14ac:dyDescent="0.25">
      <c r="D79" s="60"/>
      <c r="E79" s="89" t="s">
        <v>243</v>
      </c>
      <c r="F79" s="89"/>
      <c r="G79" s="89" t="s">
        <v>167</v>
      </c>
      <c r="J79" s="188">
        <f t="shared" ref="J79:P79" si="11">SUMIF($J$38:$Y$38, J$38, $J$73:$Y$73) / SUMIF($J$38:$Y$38, J$38, $J$71:$Y$71)</f>
        <v>0.75520137148545885</v>
      </c>
      <c r="K79" s="188">
        <f t="shared" si="11"/>
        <v>0.75520137148545885</v>
      </c>
      <c r="L79" s="188">
        <f t="shared" si="11"/>
        <v>0.67565596397119854</v>
      </c>
      <c r="M79" s="188">
        <f t="shared" si="11"/>
        <v>0.67565596397119854</v>
      </c>
      <c r="N79" s="188">
        <f t="shared" si="11"/>
        <v>0.81866666666666665</v>
      </c>
      <c r="O79" s="188">
        <f t="shared" si="11"/>
        <v>0.84266666666666667</v>
      </c>
      <c r="P79" s="188">
        <f t="shared" si="11"/>
        <v>0.86866666666666659</v>
      </c>
      <c r="Q79" s="218"/>
      <c r="R79" s="218"/>
      <c r="S79" s="218"/>
      <c r="T79" s="218"/>
      <c r="U79" s="218"/>
      <c r="V79" s="218"/>
      <c r="W79" s="218"/>
      <c r="X79" s="218"/>
      <c r="Y79" s="218"/>
    </row>
    <row r="80" spans="3:27" x14ac:dyDescent="0.25">
      <c r="D80" s="60"/>
      <c r="E80" s="89"/>
      <c r="F80" s="89"/>
      <c r="G80" s="89"/>
    </row>
    <row r="81" spans="2:27" x14ac:dyDescent="0.25">
      <c r="D81" s="60" t="s">
        <v>850</v>
      </c>
      <c r="E81" s="89"/>
      <c r="F81" s="89"/>
      <c r="G81" s="89"/>
    </row>
    <row r="82" spans="2:27" x14ac:dyDescent="0.25">
      <c r="D82" s="89"/>
      <c r="E82" s="89"/>
      <c r="F82" s="89"/>
      <c r="G82" s="89"/>
    </row>
    <row r="83" spans="2:27" x14ac:dyDescent="0.25">
      <c r="D83" s="89"/>
      <c r="E83" s="89" t="s">
        <v>241</v>
      </c>
      <c r="F83" s="89"/>
      <c r="G83" s="89" t="s">
        <v>167</v>
      </c>
      <c r="J83" s="188">
        <f>IF(J$38 = 0, J62, J77)</f>
        <v>0.4015006101961639</v>
      </c>
      <c r="K83" s="188">
        <f t="shared" ref="K83:Y83" si="12">IF(K$38 = 0, K62, K77)</f>
        <v>0.4015006101961639</v>
      </c>
      <c r="L83" s="188">
        <f t="shared" si="12"/>
        <v>0.41418062158846253</v>
      </c>
      <c r="M83" s="188">
        <f>IF(M$38 = 0, M62, M77)</f>
        <v>0.41418062158846253</v>
      </c>
      <c r="N83" s="188">
        <f t="shared" si="12"/>
        <v>0.54166666666666663</v>
      </c>
      <c r="O83" s="188">
        <f t="shared" si="12"/>
        <v>0.67766666666666664</v>
      </c>
      <c r="P83" s="188">
        <f t="shared" si="12"/>
        <v>0.73866666666666658</v>
      </c>
      <c r="Q83" s="188">
        <f t="shared" si="12"/>
        <v>0.48833333333333329</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243</v>
      </c>
      <c r="F85" s="89"/>
      <c r="G85" s="89" t="s">
        <v>167</v>
      </c>
      <c r="J85" s="188">
        <f>IF(J38 = 0, J63, J79)</f>
        <v>0.75520137148545885</v>
      </c>
      <c r="K85" s="188">
        <f t="shared" ref="K85:Y85" si="13">IF(K38 = 0, K63, K79)</f>
        <v>0.75520137148545885</v>
      </c>
      <c r="L85" s="188">
        <f t="shared" si="13"/>
        <v>0.67565596397119854</v>
      </c>
      <c r="M85" s="188">
        <f t="shared" si="13"/>
        <v>0.67565596397119854</v>
      </c>
      <c r="N85" s="188">
        <f t="shared" si="13"/>
        <v>0.81866666666666665</v>
      </c>
      <c r="O85" s="188">
        <f t="shared" si="13"/>
        <v>0.84266666666666667</v>
      </c>
      <c r="P85" s="188">
        <f t="shared" si="13"/>
        <v>0.86866666666666659</v>
      </c>
      <c r="Q85" s="188">
        <f t="shared" si="13"/>
        <v>0.90766666666666662</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470</v>
      </c>
      <c r="G89" s="89" t="s">
        <v>283</v>
      </c>
      <c r="J89" s="101">
        <f t="shared" ref="J89:Y89" si="14">IF(AND(J62 = 0, J63 = 0), 1, J63 / J62)</f>
        <v>1.9405286343612331</v>
      </c>
      <c r="K89" s="101">
        <f t="shared" si="14"/>
        <v>0</v>
      </c>
      <c r="L89" s="101">
        <f t="shared" si="14"/>
        <v>1.6650717703349285</v>
      </c>
      <c r="M89" s="101">
        <f t="shared" si="14"/>
        <v>0</v>
      </c>
      <c r="N89" s="101">
        <f t="shared" si="14"/>
        <v>1.5113846153846155</v>
      </c>
      <c r="O89" s="101">
        <f t="shared" si="14"/>
        <v>1.2434825381210035</v>
      </c>
      <c r="P89" s="101">
        <f t="shared" si="14"/>
        <v>1.1759927797833936</v>
      </c>
      <c r="Q89" s="101">
        <f t="shared" si="14"/>
        <v>1.8587030716723549</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851</v>
      </c>
      <c r="G91" s="89" t="s">
        <v>283</v>
      </c>
      <c r="I91" t="s">
        <v>154</v>
      </c>
      <c r="J91" s="101">
        <f>IF(AND(J83 = 0, J85 = 0), 1, J85 / J83)</f>
        <v>1.8809470080667747</v>
      </c>
      <c r="K91" s="101">
        <f t="shared" ref="K91:Y91" si="15">IF(AND(K83 = 0, K85 = 0), 1, K85 / K83)</f>
        <v>1.8809470080667747</v>
      </c>
      <c r="L91" s="101">
        <f t="shared" si="15"/>
        <v>1.6313075232248377</v>
      </c>
      <c r="M91" s="101">
        <f t="shared" si="15"/>
        <v>1.6313075232248377</v>
      </c>
      <c r="N91" s="101">
        <f>IF(AND(N83 = 0, N85 = 0), 1, N85 / N83)</f>
        <v>1.5113846153846155</v>
      </c>
      <c r="O91" s="101">
        <f t="shared" si="15"/>
        <v>1.2434825381210035</v>
      </c>
      <c r="P91" s="101">
        <f t="shared" si="15"/>
        <v>1.1759927797833936</v>
      </c>
      <c r="Q91" s="101">
        <f t="shared" si="15"/>
        <v>1.8587030716723549</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855</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471</v>
      </c>
      <c r="G93" s="89" t="s">
        <v>283</v>
      </c>
      <c r="I93" t="s">
        <v>154</v>
      </c>
      <c r="J93" s="101">
        <f>IF(OR(J54 = 0, J85 = 0), 1, J91 / J54)</f>
        <v>1.3542284041989612</v>
      </c>
      <c r="K93" s="101">
        <f t="shared" ref="K93:Y93" si="16">IF(OR(K54 = 0, K85 = 0), 1, K91 / K54)</f>
        <v>1.3542284041989612</v>
      </c>
      <c r="L93" s="101">
        <f t="shared" si="16"/>
        <v>1.5554664742602693</v>
      </c>
      <c r="M93" s="101">
        <f t="shared" si="16"/>
        <v>1.5554664742602693</v>
      </c>
      <c r="N93" s="101">
        <f>IF(OR(N54 = 0, N85 = 0), 1, N91 / N54)</f>
        <v>1.3617933354081075</v>
      </c>
      <c r="O93" s="101">
        <f t="shared" si="16"/>
        <v>1.1532099954778396</v>
      </c>
      <c r="P93" s="101">
        <f t="shared" si="16"/>
        <v>1.1361169549676311</v>
      </c>
      <c r="Q93" s="101">
        <f t="shared" si="16"/>
        <v>1.0937855800573901</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472</v>
      </c>
    </row>
    <row r="94" spans="2:27" x14ac:dyDescent="0.25">
      <c r="F94" s="89"/>
      <c r="G94" s="89"/>
    </row>
    <row r="95" spans="2:27" x14ac:dyDescent="0.25">
      <c r="B95" s="70" t="s">
        <v>473</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475</v>
      </c>
      <c r="I97" t="s">
        <v>154</v>
      </c>
      <c r="AA97" t="s">
        <v>474</v>
      </c>
    </row>
    <row r="98" spans="3:27" x14ac:dyDescent="0.25">
      <c r="C98" s="71" t="s">
        <v>476</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477</v>
      </c>
      <c r="G102" s="89"/>
    </row>
    <row r="103" spans="3:27" x14ac:dyDescent="0.25">
      <c r="F103" s="111" t="s">
        <v>294</v>
      </c>
      <c r="G103" s="93" t="s">
        <v>167</v>
      </c>
      <c r="H103" s="149">
        <f>'Inputs by network level'!K40</f>
        <v>0.75344120840111983</v>
      </c>
    </row>
    <row r="104" spans="3:27" x14ac:dyDescent="0.25">
      <c r="F104" s="113" t="s">
        <v>295</v>
      </c>
      <c r="G104" s="89" t="s">
        <v>167</v>
      </c>
      <c r="H104" s="150">
        <f>'Inputs by network level'!K41</f>
        <v>0.23932441085978642</v>
      </c>
    </row>
    <row r="105" spans="3:27" x14ac:dyDescent="0.25">
      <c r="F105" s="115" t="s">
        <v>257</v>
      </c>
      <c r="G105" s="96" t="s">
        <v>167</v>
      </c>
      <c r="H105" s="184">
        <f>'Inputs by network level'!K42</f>
        <v>7.2346618662699298E-3</v>
      </c>
    </row>
    <row r="106" spans="3:27" x14ac:dyDescent="0.25">
      <c r="F106" s="111" t="s">
        <v>296</v>
      </c>
      <c r="G106" s="93" t="s">
        <v>167</v>
      </c>
      <c r="H106" s="149">
        <f>'Inputs by network level'!K43</f>
        <v>0.69946786579381059</v>
      </c>
    </row>
    <row r="107" spans="3:27" x14ac:dyDescent="0.25">
      <c r="F107" s="113" t="s">
        <v>305</v>
      </c>
      <c r="G107" s="89" t="s">
        <v>167</v>
      </c>
      <c r="H107" s="220">
        <f>SUM(H103:H104) - H106</f>
        <v>0.29329775346709563</v>
      </c>
    </row>
    <row r="108" spans="3:27" x14ac:dyDescent="0.25">
      <c r="F108" s="115" t="s">
        <v>257</v>
      </c>
      <c r="G108" s="96" t="s">
        <v>167</v>
      </c>
      <c r="H108" s="221">
        <f>H105</f>
        <v>7.2346618662699298E-3</v>
      </c>
    </row>
    <row r="109" spans="3:27" x14ac:dyDescent="0.25">
      <c r="F109" s="71"/>
      <c r="G109" s="89"/>
    </row>
    <row r="110" spans="3:27" x14ac:dyDescent="0.25">
      <c r="E110" s="60" t="s">
        <v>478</v>
      </c>
      <c r="G110" s="89"/>
    </row>
    <row r="111" spans="3:27" x14ac:dyDescent="0.25">
      <c r="F111" s="111" t="s">
        <v>463</v>
      </c>
      <c r="G111" s="93" t="s">
        <v>167</v>
      </c>
      <c r="H111" s="149">
        <f>'Inputs by network level'!L40</f>
        <v>0</v>
      </c>
    </row>
    <row r="112" spans="3:27" x14ac:dyDescent="0.25">
      <c r="F112" s="113" t="s">
        <v>464</v>
      </c>
      <c r="G112" s="89" t="s">
        <v>167</v>
      </c>
      <c r="H112" s="150">
        <f>'Inputs by network level'!L41</f>
        <v>0</v>
      </c>
    </row>
    <row r="113" spans="5:8" x14ac:dyDescent="0.25">
      <c r="F113" s="115" t="s">
        <v>257</v>
      </c>
      <c r="G113" s="96" t="s">
        <v>167</v>
      </c>
      <c r="H113" s="184">
        <f>'Inputs by network level'!L42</f>
        <v>0</v>
      </c>
    </row>
    <row r="114" spans="5:8" x14ac:dyDescent="0.25">
      <c r="F114" s="111" t="s">
        <v>296</v>
      </c>
      <c r="G114" s="93" t="s">
        <v>167</v>
      </c>
      <c r="H114" s="149">
        <f>'Inputs by network level'!L43</f>
        <v>0</v>
      </c>
    </row>
    <row r="115" spans="5:8" x14ac:dyDescent="0.25">
      <c r="F115" s="113" t="s">
        <v>305</v>
      </c>
      <c r="G115" s="89" t="s">
        <v>167</v>
      </c>
      <c r="H115" s="220">
        <f>SUM(H111:H112) - H114</f>
        <v>0</v>
      </c>
    </row>
    <row r="116" spans="5:8" x14ac:dyDescent="0.25">
      <c r="F116" s="115" t="s">
        <v>257</v>
      </c>
      <c r="G116" s="96" t="s">
        <v>167</v>
      </c>
      <c r="H116" s="221">
        <f>H113</f>
        <v>0</v>
      </c>
    </row>
    <row r="117" spans="5:8" x14ac:dyDescent="0.25">
      <c r="F117" s="71"/>
      <c r="G117" s="89"/>
    </row>
    <row r="118" spans="5:8" x14ac:dyDescent="0.25">
      <c r="E118" s="60" t="s">
        <v>479</v>
      </c>
      <c r="G118" s="89"/>
    </row>
    <row r="119" spans="5:8" x14ac:dyDescent="0.25">
      <c r="F119" s="111" t="s">
        <v>463</v>
      </c>
      <c r="G119" s="93" t="s">
        <v>167</v>
      </c>
      <c r="H119" s="149">
        <f>'Inputs by network level'!M40</f>
        <v>0</v>
      </c>
    </row>
    <row r="120" spans="5:8" x14ac:dyDescent="0.25">
      <c r="F120" s="113" t="s">
        <v>464</v>
      </c>
      <c r="G120" s="89" t="s">
        <v>167</v>
      </c>
      <c r="H120" s="150">
        <f>'Inputs by network level'!M41</f>
        <v>0</v>
      </c>
    </row>
    <row r="121" spans="5:8" x14ac:dyDescent="0.25">
      <c r="F121" s="115" t="s">
        <v>257</v>
      </c>
      <c r="G121" s="96" t="s">
        <v>167</v>
      </c>
      <c r="H121" s="184">
        <f>'Inputs by network level'!M42</f>
        <v>0</v>
      </c>
    </row>
    <row r="122" spans="5:8" x14ac:dyDescent="0.25">
      <c r="F122" s="111" t="s">
        <v>296</v>
      </c>
      <c r="G122" s="93" t="s">
        <v>167</v>
      </c>
      <c r="H122" s="149">
        <f>'Inputs by network level'!M43</f>
        <v>0</v>
      </c>
    </row>
    <row r="123" spans="5:8" x14ac:dyDescent="0.25">
      <c r="F123" s="113" t="s">
        <v>305</v>
      </c>
      <c r="G123" s="89" t="s">
        <v>167</v>
      </c>
      <c r="H123" s="220">
        <f>SUM(H119:H120) - H122</f>
        <v>0</v>
      </c>
    </row>
    <row r="124" spans="5:8" x14ac:dyDescent="0.25">
      <c r="F124" s="115" t="s">
        <v>257</v>
      </c>
      <c r="G124" s="96" t="s">
        <v>167</v>
      </c>
      <c r="H124" s="221">
        <f>H121</f>
        <v>0</v>
      </c>
    </row>
    <row r="125" spans="5:8" x14ac:dyDescent="0.25">
      <c r="F125" s="71"/>
      <c r="G125" s="89"/>
    </row>
    <row r="126" spans="5:8" x14ac:dyDescent="0.25">
      <c r="E126" s="60" t="s">
        <v>480</v>
      </c>
      <c r="G126" s="89"/>
    </row>
    <row r="127" spans="5:8" x14ac:dyDescent="0.25">
      <c r="F127" s="111" t="s">
        <v>463</v>
      </c>
      <c r="G127" s="93" t="s">
        <v>167</v>
      </c>
      <c r="H127" s="149">
        <f>'Inputs by network level'!N40</f>
        <v>0.75344120840111983</v>
      </c>
    </row>
    <row r="128" spans="5:8" x14ac:dyDescent="0.25">
      <c r="F128" s="113" t="s">
        <v>464</v>
      </c>
      <c r="G128" s="89" t="s">
        <v>167</v>
      </c>
      <c r="H128" s="150">
        <f>'Inputs by network level'!N41</f>
        <v>0.23932441085978642</v>
      </c>
    </row>
    <row r="129" spans="5:8" x14ac:dyDescent="0.25">
      <c r="F129" s="115" t="s">
        <v>257</v>
      </c>
      <c r="G129" s="96" t="s">
        <v>167</v>
      </c>
      <c r="H129" s="184">
        <f>'Inputs by network level'!N42</f>
        <v>7.2346618662699298E-3</v>
      </c>
    </row>
    <row r="130" spans="5:8" x14ac:dyDescent="0.25">
      <c r="F130" s="111" t="s">
        <v>296</v>
      </c>
      <c r="G130" s="93" t="s">
        <v>167</v>
      </c>
      <c r="H130" s="149">
        <f>'Inputs by network level'!N43</f>
        <v>0.69946786579381059</v>
      </c>
    </row>
    <row r="131" spans="5:8" x14ac:dyDescent="0.25">
      <c r="F131" s="113" t="s">
        <v>305</v>
      </c>
      <c r="G131" s="89" t="s">
        <v>167</v>
      </c>
      <c r="H131" s="220">
        <f>SUM(H127:H128) - H130</f>
        <v>0.29329775346709563</v>
      </c>
    </row>
    <row r="132" spans="5:8" x14ac:dyDescent="0.25">
      <c r="F132" s="115" t="s">
        <v>257</v>
      </c>
      <c r="G132" s="96" t="s">
        <v>167</v>
      </c>
      <c r="H132" s="221">
        <f>H129</f>
        <v>7.2346618662699298E-3</v>
      </c>
    </row>
    <row r="133" spans="5:8" x14ac:dyDescent="0.25">
      <c r="F133" s="71"/>
      <c r="G133" s="89"/>
    </row>
    <row r="134" spans="5:8" x14ac:dyDescent="0.25">
      <c r="E134" s="60" t="s">
        <v>481</v>
      </c>
      <c r="G134" s="89"/>
    </row>
    <row r="135" spans="5:8" x14ac:dyDescent="0.25">
      <c r="F135" s="111" t="s">
        <v>463</v>
      </c>
      <c r="G135" s="93" t="s">
        <v>167</v>
      </c>
      <c r="H135" s="149">
        <f>'Inputs by network level'!O40</f>
        <v>0.60451701500933874</v>
      </c>
    </row>
    <row r="136" spans="5:8" x14ac:dyDescent="0.25">
      <c r="F136" s="113" t="s">
        <v>464</v>
      </c>
      <c r="G136" s="89" t="s">
        <v>167</v>
      </c>
      <c r="H136" s="150">
        <f>'Inputs by network level'!O41</f>
        <v>0.38575653098498325</v>
      </c>
    </row>
    <row r="137" spans="5:8" x14ac:dyDescent="0.25">
      <c r="F137" s="115" t="s">
        <v>257</v>
      </c>
      <c r="G137" s="96" t="s">
        <v>167</v>
      </c>
      <c r="H137" s="184">
        <f>'Inputs by network level'!O42</f>
        <v>9.7264540056779831E-3</v>
      </c>
    </row>
    <row r="138" spans="5:8" x14ac:dyDescent="0.25">
      <c r="F138" s="111" t="s">
        <v>296</v>
      </c>
      <c r="G138" s="93" t="s">
        <v>167</v>
      </c>
      <c r="H138" s="149">
        <f>'Inputs by network level'!O43</f>
        <v>0.58082759369516379</v>
      </c>
    </row>
    <row r="139" spans="5:8" x14ac:dyDescent="0.25">
      <c r="F139" s="113" t="s">
        <v>305</v>
      </c>
      <c r="G139" s="89" t="s">
        <v>167</v>
      </c>
      <c r="H139" s="220">
        <f>SUM(H135:H136) - H138</f>
        <v>0.40944595229915814</v>
      </c>
    </row>
    <row r="140" spans="5:8" x14ac:dyDescent="0.25">
      <c r="F140" s="115" t="s">
        <v>257</v>
      </c>
      <c r="G140" s="96" t="s">
        <v>167</v>
      </c>
      <c r="H140" s="221">
        <f>H137</f>
        <v>9.7264540056779831E-3</v>
      </c>
    </row>
    <row r="141" spans="5:8" x14ac:dyDescent="0.25">
      <c r="F141" s="71"/>
      <c r="G141" s="89"/>
    </row>
    <row r="142" spans="5:8" x14ac:dyDescent="0.25">
      <c r="E142" s="60" t="s">
        <v>482</v>
      </c>
      <c r="G142" s="89"/>
    </row>
    <row r="143" spans="5:8" x14ac:dyDescent="0.25">
      <c r="F143" s="111" t="s">
        <v>463</v>
      </c>
      <c r="G143" s="93" t="s">
        <v>167</v>
      </c>
      <c r="H143" s="149">
        <f>'Inputs by network level'!P40</f>
        <v>0</v>
      </c>
    </row>
    <row r="144" spans="5:8" x14ac:dyDescent="0.25">
      <c r="F144" s="113" t="s">
        <v>464</v>
      </c>
      <c r="G144" s="89" t="s">
        <v>167</v>
      </c>
      <c r="H144" s="150">
        <f>'Inputs by network level'!P41</f>
        <v>0</v>
      </c>
    </row>
    <row r="145" spans="5:8" x14ac:dyDescent="0.25">
      <c r="F145" s="115" t="s">
        <v>257</v>
      </c>
      <c r="G145" s="96" t="s">
        <v>167</v>
      </c>
      <c r="H145" s="184">
        <f>'Inputs by network level'!P42</f>
        <v>0</v>
      </c>
    </row>
    <row r="146" spans="5:8" x14ac:dyDescent="0.25">
      <c r="F146" s="111" t="s">
        <v>296</v>
      </c>
      <c r="G146" s="93" t="s">
        <v>167</v>
      </c>
      <c r="H146" s="149">
        <f>'Inputs by network level'!P43</f>
        <v>0</v>
      </c>
    </row>
    <row r="147" spans="5:8" x14ac:dyDescent="0.25">
      <c r="F147" s="113" t="s">
        <v>305</v>
      </c>
      <c r="G147" s="89" t="s">
        <v>167</v>
      </c>
      <c r="H147" s="220">
        <f>SUM(H143:H144) - H146</f>
        <v>0</v>
      </c>
    </row>
    <row r="148" spans="5:8" x14ac:dyDescent="0.25">
      <c r="F148" s="115" t="s">
        <v>257</v>
      </c>
      <c r="G148" s="96" t="s">
        <v>167</v>
      </c>
      <c r="H148" s="221">
        <f>H145</f>
        <v>0</v>
      </c>
    </row>
    <row r="149" spans="5:8" x14ac:dyDescent="0.25">
      <c r="F149" s="71"/>
      <c r="G149" s="89"/>
    </row>
    <row r="150" spans="5:8" x14ac:dyDescent="0.25">
      <c r="E150" s="60" t="s">
        <v>483</v>
      </c>
      <c r="G150" s="89"/>
    </row>
    <row r="151" spans="5:8" x14ac:dyDescent="0.25">
      <c r="F151" s="111" t="s">
        <v>463</v>
      </c>
      <c r="G151" s="93" t="s">
        <v>167</v>
      </c>
      <c r="H151" s="149">
        <f>'Inputs by network level'!Q40</f>
        <v>0.60451701500933874</v>
      </c>
    </row>
    <row r="152" spans="5:8" x14ac:dyDescent="0.25">
      <c r="F152" s="113" t="s">
        <v>464</v>
      </c>
      <c r="G152" s="89" t="s">
        <v>167</v>
      </c>
      <c r="H152" s="150">
        <f>'Inputs by network level'!Q41</f>
        <v>0.38575653098498325</v>
      </c>
    </row>
    <row r="153" spans="5:8" x14ac:dyDescent="0.25">
      <c r="F153" s="115" t="s">
        <v>257</v>
      </c>
      <c r="G153" s="96" t="s">
        <v>167</v>
      </c>
      <c r="H153" s="184">
        <f>'Inputs by network level'!Q42</f>
        <v>9.7264540056779831E-3</v>
      </c>
    </row>
    <row r="154" spans="5:8" x14ac:dyDescent="0.25">
      <c r="F154" s="111" t="s">
        <v>296</v>
      </c>
      <c r="G154" s="93" t="s">
        <v>167</v>
      </c>
      <c r="H154" s="149">
        <f>'Inputs by network level'!Q43</f>
        <v>0.58082759369516379</v>
      </c>
    </row>
    <row r="155" spans="5:8" x14ac:dyDescent="0.25">
      <c r="F155" s="113" t="s">
        <v>305</v>
      </c>
      <c r="G155" s="89" t="s">
        <v>167</v>
      </c>
      <c r="H155" s="220">
        <f>SUM(H151:H152) - H154</f>
        <v>0.40944595229915814</v>
      </c>
    </row>
    <row r="156" spans="5:8" x14ac:dyDescent="0.25">
      <c r="F156" s="115" t="s">
        <v>257</v>
      </c>
      <c r="G156" s="96" t="s">
        <v>167</v>
      </c>
      <c r="H156" s="221">
        <f>H153</f>
        <v>9.7264540056779831E-3</v>
      </c>
    </row>
    <row r="157" spans="5:8" x14ac:dyDescent="0.25">
      <c r="F157" s="71"/>
      <c r="G157" s="89"/>
    </row>
    <row r="158" spans="5:8" x14ac:dyDescent="0.25">
      <c r="E158" s="60" t="s">
        <v>484</v>
      </c>
      <c r="G158" s="89"/>
    </row>
    <row r="159" spans="5:8" x14ac:dyDescent="0.25">
      <c r="F159" s="111" t="s">
        <v>463</v>
      </c>
      <c r="G159" s="93" t="s">
        <v>167</v>
      </c>
      <c r="H159" s="149">
        <f>'Inputs by network level'!R40</f>
        <v>0.60451701500933874</v>
      </c>
    </row>
    <row r="160" spans="5:8" x14ac:dyDescent="0.25">
      <c r="F160" s="113" t="s">
        <v>464</v>
      </c>
      <c r="G160" s="89" t="s">
        <v>167</v>
      </c>
      <c r="H160" s="150">
        <f>'Inputs by network level'!R41</f>
        <v>0.38575653098498325</v>
      </c>
    </row>
    <row r="161" spans="3:27" x14ac:dyDescent="0.25">
      <c r="F161" s="115" t="s">
        <v>257</v>
      </c>
      <c r="G161" s="96" t="s">
        <v>167</v>
      </c>
      <c r="H161" s="184">
        <f>'Inputs by network level'!R42</f>
        <v>9.7264540056779831E-3</v>
      </c>
    </row>
    <row r="162" spans="3:27" x14ac:dyDescent="0.25">
      <c r="F162" s="111" t="s">
        <v>296</v>
      </c>
      <c r="G162" s="93" t="s">
        <v>167</v>
      </c>
      <c r="H162" s="149">
        <f>'Inputs by network level'!R43</f>
        <v>0.58082759369516379</v>
      </c>
    </row>
    <row r="163" spans="3:27" x14ac:dyDescent="0.25">
      <c r="F163" s="113" t="s">
        <v>305</v>
      </c>
      <c r="G163" s="89" t="s">
        <v>167</v>
      </c>
      <c r="H163" s="220">
        <f>SUM(H159:H160) - H162</f>
        <v>0.40944595229915814</v>
      </c>
    </row>
    <row r="164" spans="3:27" x14ac:dyDescent="0.25">
      <c r="F164" s="115" t="s">
        <v>257</v>
      </c>
      <c r="G164" s="96" t="s">
        <v>167</v>
      </c>
      <c r="H164" s="221">
        <f>H161</f>
        <v>9.7264540056779831E-3</v>
      </c>
    </row>
    <row r="165" spans="3:27" x14ac:dyDescent="0.25">
      <c r="F165" s="71"/>
      <c r="G165" s="89"/>
    </row>
    <row r="166" spans="3:27" x14ac:dyDescent="0.25">
      <c r="E166" s="60" t="s">
        <v>485</v>
      </c>
      <c r="G166" s="89"/>
    </row>
    <row r="167" spans="3:27" x14ac:dyDescent="0.25">
      <c r="F167" s="111" t="s">
        <v>463</v>
      </c>
      <c r="G167" s="93" t="s">
        <v>167</v>
      </c>
      <c r="H167" s="149">
        <f>'Inputs by network level'!S40</f>
        <v>0.60451701500933874</v>
      </c>
    </row>
    <row r="168" spans="3:27" x14ac:dyDescent="0.25">
      <c r="F168" s="113" t="s">
        <v>464</v>
      </c>
      <c r="G168" s="89" t="s">
        <v>167</v>
      </c>
      <c r="H168" s="150">
        <f>'Inputs by network level'!S41</f>
        <v>0.38575653098498325</v>
      </c>
    </row>
    <row r="169" spans="3:27" x14ac:dyDescent="0.25">
      <c r="F169" s="115" t="s">
        <v>257</v>
      </c>
      <c r="G169" s="96" t="s">
        <v>167</v>
      </c>
      <c r="H169" s="184">
        <f>'Inputs by network level'!S42</f>
        <v>9.7264540056779831E-3</v>
      </c>
    </row>
    <row r="170" spans="3:27" x14ac:dyDescent="0.25">
      <c r="F170" s="111" t="s">
        <v>296</v>
      </c>
      <c r="G170" s="93" t="s">
        <v>167</v>
      </c>
      <c r="H170" s="149">
        <f>'Inputs by network level'!S43</f>
        <v>0.58082759369516379</v>
      </c>
    </row>
    <row r="171" spans="3:27" x14ac:dyDescent="0.25">
      <c r="F171" s="113" t="s">
        <v>305</v>
      </c>
      <c r="G171" s="89" t="s">
        <v>167</v>
      </c>
      <c r="H171" s="220">
        <f>SUM(H167:H168) - H170</f>
        <v>0.40944595229915814</v>
      </c>
    </row>
    <row r="172" spans="3:27" x14ac:dyDescent="0.25">
      <c r="F172" s="115" t="s">
        <v>257</v>
      </c>
      <c r="G172" s="96" t="s">
        <v>167</v>
      </c>
      <c r="H172" s="221">
        <f>H169</f>
        <v>9.7264540056779831E-3</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477</v>
      </c>
      <c r="G176" s="89"/>
    </row>
    <row r="177" spans="5:25" x14ac:dyDescent="0.25">
      <c r="E177" s="71"/>
      <c r="F177" s="111" t="s">
        <v>463</v>
      </c>
      <c r="G177" s="93" t="s">
        <v>167</v>
      </c>
      <c r="H177" s="149"/>
      <c r="I177" s="90"/>
      <c r="J177" s="196">
        <f t="shared" ref="J177:K177" si="17">IF(J$20, $H106, $H103)</f>
        <v>0.75344120840111983</v>
      </c>
      <c r="K177" s="196">
        <f t="shared" si="17"/>
        <v>0.75344120840111983</v>
      </c>
      <c r="L177" s="196">
        <f t="shared" ref="L177:M177" si="18">IF(L$20, $H106, $H103)</f>
        <v>0.75344120840111983</v>
      </c>
      <c r="M177" s="196">
        <f t="shared" si="18"/>
        <v>0.75344120840111983</v>
      </c>
      <c r="N177" s="196">
        <f t="shared" ref="N177:P177" si="19">IF(N$20, $H106, $H103)</f>
        <v>0.75344120840111983</v>
      </c>
      <c r="O177" s="196">
        <f t="shared" si="19"/>
        <v>0.75344120840111983</v>
      </c>
      <c r="P177" s="196">
        <f t="shared" si="19"/>
        <v>0.75344120840111983</v>
      </c>
      <c r="Q177" s="196">
        <f t="shared" ref="Q177:S177" si="20">IF(Q$20, $H106, $H103)</f>
        <v>0.69946786579381059</v>
      </c>
      <c r="R177" s="196">
        <f t="shared" si="20"/>
        <v>0.75344120840111983</v>
      </c>
      <c r="S177" s="196">
        <f t="shared" si="20"/>
        <v>0.75344120840111983</v>
      </c>
      <c r="T177" s="196">
        <f t="shared" ref="T177:U177" si="21">IF(T$20, $H106, $H103)</f>
        <v>0.75344120840111983</v>
      </c>
      <c r="U177" s="196">
        <f t="shared" si="21"/>
        <v>0.75344120840111983</v>
      </c>
      <c r="V177" s="196">
        <f t="shared" ref="V177:W177" si="22">IF(V$20, $H106, $H103)</f>
        <v>0.75344120840111983</v>
      </c>
      <c r="W177" s="196">
        <f t="shared" si="22"/>
        <v>0.75344120840111983</v>
      </c>
      <c r="X177" s="196">
        <f t="shared" ref="X177:Y177" si="23">IF(X$20, $H106, $H103)</f>
        <v>0.75344120840111983</v>
      </c>
      <c r="Y177" s="196">
        <f t="shared" si="23"/>
        <v>0.75344120840111983</v>
      </c>
    </row>
    <row r="178" spans="5:25" x14ac:dyDescent="0.25">
      <c r="E178" s="71"/>
      <c r="F178" s="113" t="s">
        <v>464</v>
      </c>
      <c r="G178" s="89" t="s">
        <v>167</v>
      </c>
      <c r="H178" s="150"/>
      <c r="J178" s="188">
        <f t="shared" ref="J178:K178" si="24">IF(J$20, $H107, $H104)</f>
        <v>0.23932441085978642</v>
      </c>
      <c r="K178" s="188">
        <f t="shared" si="24"/>
        <v>0.23932441085978642</v>
      </c>
      <c r="L178" s="188">
        <f t="shared" ref="L178:M178" si="25">IF(L$20, $H107, $H104)</f>
        <v>0.23932441085978642</v>
      </c>
      <c r="M178" s="188">
        <f t="shared" si="25"/>
        <v>0.23932441085978642</v>
      </c>
      <c r="N178" s="188">
        <f t="shared" ref="N178:P178" si="26">IF(N$20, $H107, $H104)</f>
        <v>0.23932441085978642</v>
      </c>
      <c r="O178" s="188">
        <f t="shared" si="26"/>
        <v>0.23932441085978642</v>
      </c>
      <c r="P178" s="188">
        <f t="shared" si="26"/>
        <v>0.23932441085978642</v>
      </c>
      <c r="Q178" s="188">
        <f t="shared" ref="Q178:S178" si="27">IF(Q$20, $H107, $H104)</f>
        <v>0.29329775346709563</v>
      </c>
      <c r="R178" s="188">
        <f t="shared" si="27"/>
        <v>0.23932441085978642</v>
      </c>
      <c r="S178" s="188">
        <f t="shared" si="27"/>
        <v>0.23932441085978642</v>
      </c>
      <c r="T178" s="188">
        <f t="shared" ref="T178:U178" si="28">IF(T$20, $H107, $H104)</f>
        <v>0.23932441085978642</v>
      </c>
      <c r="U178" s="188">
        <f t="shared" si="28"/>
        <v>0.23932441085978642</v>
      </c>
      <c r="V178" s="188">
        <f t="shared" ref="V178:W178" si="29">IF(V$20, $H107, $H104)</f>
        <v>0.23932441085978642</v>
      </c>
      <c r="W178" s="188">
        <f t="shared" si="29"/>
        <v>0.23932441085978642</v>
      </c>
      <c r="X178" s="188">
        <f t="shared" ref="X178:Y178" si="30">IF(X$20, $H107, $H104)</f>
        <v>0.23932441085978642</v>
      </c>
      <c r="Y178" s="188">
        <f t="shared" si="30"/>
        <v>0.23932441085978642</v>
      </c>
    </row>
    <row r="179" spans="5:25" x14ac:dyDescent="0.25">
      <c r="E179" s="71"/>
      <c r="F179" s="115" t="s">
        <v>257</v>
      </c>
      <c r="G179" s="96" t="s">
        <v>167</v>
      </c>
      <c r="H179" s="184"/>
      <c r="I179" s="91"/>
      <c r="J179" s="197">
        <f t="shared" ref="J179:K179" si="31">IF(J$20, $H108, $H105)</f>
        <v>7.2346618662699298E-3</v>
      </c>
      <c r="K179" s="197">
        <f t="shared" si="31"/>
        <v>7.2346618662699298E-3</v>
      </c>
      <c r="L179" s="197">
        <f t="shared" ref="L179:M179" si="32">IF(L$20, $H108, $H105)</f>
        <v>7.2346618662699298E-3</v>
      </c>
      <c r="M179" s="197">
        <f t="shared" si="32"/>
        <v>7.2346618662699298E-3</v>
      </c>
      <c r="N179" s="197">
        <f t="shared" ref="N179:P179" si="33">IF(N$20, $H108, $H105)</f>
        <v>7.2346618662699298E-3</v>
      </c>
      <c r="O179" s="197">
        <f t="shared" si="33"/>
        <v>7.2346618662699298E-3</v>
      </c>
      <c r="P179" s="197">
        <f t="shared" si="33"/>
        <v>7.2346618662699298E-3</v>
      </c>
      <c r="Q179" s="197">
        <f t="shared" ref="Q179:S179" si="34">IF(Q$20, $H108, $H105)</f>
        <v>7.2346618662699298E-3</v>
      </c>
      <c r="R179" s="197">
        <f t="shared" si="34"/>
        <v>7.2346618662699298E-3</v>
      </c>
      <c r="S179" s="197">
        <f t="shared" si="34"/>
        <v>7.2346618662699298E-3</v>
      </c>
      <c r="T179" s="197">
        <f t="shared" ref="T179:U179" si="35">IF(T$20, $H108, $H105)</f>
        <v>7.2346618662699298E-3</v>
      </c>
      <c r="U179" s="197">
        <f t="shared" si="35"/>
        <v>7.2346618662699298E-3</v>
      </c>
      <c r="V179" s="197">
        <f t="shared" ref="V179:W179" si="36">IF(V$20, $H108, $H105)</f>
        <v>7.2346618662699298E-3</v>
      </c>
      <c r="W179" s="197">
        <f t="shared" si="36"/>
        <v>7.2346618662699298E-3</v>
      </c>
      <c r="X179" s="197">
        <f t="shared" ref="X179:Y179" si="37">IF(X$20, $H108, $H105)</f>
        <v>7.2346618662699298E-3</v>
      </c>
      <c r="Y179" s="197">
        <f t="shared" si="37"/>
        <v>7.2346618662699298E-3</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478</v>
      </c>
      <c r="G181" s="89"/>
    </row>
    <row r="182" spans="5:25" x14ac:dyDescent="0.25">
      <c r="E182" s="71"/>
      <c r="F182" s="111" t="s">
        <v>463</v>
      </c>
      <c r="G182" s="93" t="s">
        <v>167</v>
      </c>
      <c r="H182" s="149"/>
      <c r="I182" s="90"/>
      <c r="J182" s="196">
        <f t="shared" ref="J182:K182" si="38">IF(J$20, $H114, $H111)</f>
        <v>0</v>
      </c>
      <c r="K182" s="196">
        <f t="shared" si="38"/>
        <v>0</v>
      </c>
      <c r="L182" s="196">
        <f t="shared" ref="L182:M182" si="39">IF(L$20, $H114, $H111)</f>
        <v>0</v>
      </c>
      <c r="M182" s="196">
        <f t="shared" si="39"/>
        <v>0</v>
      </c>
      <c r="N182" s="196">
        <f t="shared" ref="N182:P182" si="40">IF(N$20, $H114, $H111)</f>
        <v>0</v>
      </c>
      <c r="O182" s="196">
        <f t="shared" si="40"/>
        <v>0</v>
      </c>
      <c r="P182" s="196">
        <f t="shared" si="40"/>
        <v>0</v>
      </c>
      <c r="Q182" s="196">
        <f t="shared" ref="Q182:S182" si="41">IF(Q$20, $H114, $H111)</f>
        <v>0</v>
      </c>
      <c r="R182" s="196">
        <f t="shared" si="41"/>
        <v>0</v>
      </c>
      <c r="S182" s="196">
        <f t="shared" si="41"/>
        <v>0</v>
      </c>
      <c r="T182" s="196">
        <f t="shared" ref="T182:U182" si="42">IF(T$20, $H114, $H111)</f>
        <v>0</v>
      </c>
      <c r="U182" s="196">
        <f t="shared" si="42"/>
        <v>0</v>
      </c>
      <c r="V182" s="196">
        <f t="shared" ref="V182:W182" si="43">IF(V$20, $H114, $H111)</f>
        <v>0</v>
      </c>
      <c r="W182" s="196">
        <f t="shared" si="43"/>
        <v>0</v>
      </c>
      <c r="X182" s="196">
        <f t="shared" ref="X182:Y182" si="44">IF(X$20, $H114, $H111)</f>
        <v>0</v>
      </c>
      <c r="Y182" s="196">
        <f t="shared" si="44"/>
        <v>0</v>
      </c>
    </row>
    <row r="183" spans="5:25" x14ac:dyDescent="0.25">
      <c r="E183" s="71"/>
      <c r="F183" s="113" t="s">
        <v>464</v>
      </c>
      <c r="G183" s="89" t="s">
        <v>167</v>
      </c>
      <c r="H183" s="150"/>
      <c r="J183" s="188">
        <f t="shared" ref="J183:K183" si="45">IF(J$20, $H115, $H112)</f>
        <v>0</v>
      </c>
      <c r="K183" s="188">
        <f t="shared" si="45"/>
        <v>0</v>
      </c>
      <c r="L183" s="188">
        <f t="shared" ref="L183:M183" si="46">IF(L$20, $H115, $H112)</f>
        <v>0</v>
      </c>
      <c r="M183" s="188">
        <f t="shared" si="46"/>
        <v>0</v>
      </c>
      <c r="N183" s="188">
        <f t="shared" ref="N183:P183" si="47">IF(N$20, $H115, $H112)</f>
        <v>0</v>
      </c>
      <c r="O183" s="188">
        <f t="shared" si="47"/>
        <v>0</v>
      </c>
      <c r="P183" s="188">
        <f t="shared" si="47"/>
        <v>0</v>
      </c>
      <c r="Q183" s="188">
        <f t="shared" ref="Q183:S183" si="48">IF(Q$20, $H115, $H112)</f>
        <v>0</v>
      </c>
      <c r="R183" s="188">
        <f t="shared" si="48"/>
        <v>0</v>
      </c>
      <c r="S183" s="188">
        <f t="shared" si="48"/>
        <v>0</v>
      </c>
      <c r="T183" s="188">
        <f t="shared" ref="T183:U183" si="49">IF(T$20, $H115, $H112)</f>
        <v>0</v>
      </c>
      <c r="U183" s="188">
        <f t="shared" si="49"/>
        <v>0</v>
      </c>
      <c r="V183" s="188">
        <f t="shared" ref="V183:W183" si="50">IF(V$20, $H115, $H112)</f>
        <v>0</v>
      </c>
      <c r="W183" s="188">
        <f t="shared" si="50"/>
        <v>0</v>
      </c>
      <c r="X183" s="188">
        <f t="shared" ref="X183:Y183" si="51">IF(X$20, $H115, $H112)</f>
        <v>0</v>
      </c>
      <c r="Y183" s="188">
        <f t="shared" si="51"/>
        <v>0</v>
      </c>
    </row>
    <row r="184" spans="5:25" x14ac:dyDescent="0.25">
      <c r="E184" s="71"/>
      <c r="F184" s="115" t="s">
        <v>257</v>
      </c>
      <c r="G184" s="96" t="s">
        <v>167</v>
      </c>
      <c r="H184" s="184"/>
      <c r="I184" s="91"/>
      <c r="J184" s="197">
        <f t="shared" ref="J184:K184" si="52">IF(J$20, $H116, $H113)</f>
        <v>0</v>
      </c>
      <c r="K184" s="197">
        <f t="shared" si="52"/>
        <v>0</v>
      </c>
      <c r="L184" s="197">
        <f t="shared" ref="L184:M184" si="53">IF(L$20, $H116, $H113)</f>
        <v>0</v>
      </c>
      <c r="M184" s="197">
        <f t="shared" si="53"/>
        <v>0</v>
      </c>
      <c r="N184" s="197">
        <f t="shared" ref="N184:P184" si="54">IF(N$20, $H116, $H113)</f>
        <v>0</v>
      </c>
      <c r="O184" s="197">
        <f t="shared" si="54"/>
        <v>0</v>
      </c>
      <c r="P184" s="197">
        <f t="shared" si="54"/>
        <v>0</v>
      </c>
      <c r="Q184" s="197">
        <f t="shared" ref="Q184:S184" si="55">IF(Q$20, $H116, $H113)</f>
        <v>0</v>
      </c>
      <c r="R184" s="197">
        <f t="shared" si="55"/>
        <v>0</v>
      </c>
      <c r="S184" s="197">
        <f t="shared" si="55"/>
        <v>0</v>
      </c>
      <c r="T184" s="197">
        <f t="shared" ref="T184:U184" si="56">IF(T$20, $H116, $H113)</f>
        <v>0</v>
      </c>
      <c r="U184" s="197">
        <f t="shared" si="56"/>
        <v>0</v>
      </c>
      <c r="V184" s="197">
        <f t="shared" ref="V184:W184" si="57">IF(V$20, $H116, $H113)</f>
        <v>0</v>
      </c>
      <c r="W184" s="197">
        <f t="shared" si="57"/>
        <v>0</v>
      </c>
      <c r="X184" s="197">
        <f t="shared" ref="X184:Y184" si="58">IF(X$20, $H116, $H113)</f>
        <v>0</v>
      </c>
      <c r="Y184" s="197">
        <f t="shared" si="58"/>
        <v>0</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479</v>
      </c>
      <c r="G186" s="89"/>
    </row>
    <row r="187" spans="5:25" x14ac:dyDescent="0.25">
      <c r="E187" s="71"/>
      <c r="F187" s="111" t="s">
        <v>463</v>
      </c>
      <c r="G187" s="93" t="s">
        <v>167</v>
      </c>
      <c r="H187" s="149"/>
      <c r="I187" s="90"/>
      <c r="J187" s="196">
        <f t="shared" ref="J187:K187" si="59">IF(J$20, $H122, $H119)</f>
        <v>0</v>
      </c>
      <c r="K187" s="196">
        <f t="shared" si="59"/>
        <v>0</v>
      </c>
      <c r="L187" s="196">
        <f t="shared" ref="L187:M187" si="60">IF(L$20, $H122, $H119)</f>
        <v>0</v>
      </c>
      <c r="M187" s="196">
        <f t="shared" si="60"/>
        <v>0</v>
      </c>
      <c r="N187" s="196">
        <f t="shared" ref="N187:P187" si="61">IF(N$20, $H122, $H119)</f>
        <v>0</v>
      </c>
      <c r="O187" s="196">
        <f t="shared" si="61"/>
        <v>0</v>
      </c>
      <c r="P187" s="196">
        <f t="shared" si="61"/>
        <v>0</v>
      </c>
      <c r="Q187" s="196">
        <f t="shared" ref="Q187:S187" si="62">IF(Q$20, $H122, $H119)</f>
        <v>0</v>
      </c>
      <c r="R187" s="196">
        <f t="shared" si="62"/>
        <v>0</v>
      </c>
      <c r="S187" s="196">
        <f t="shared" si="62"/>
        <v>0</v>
      </c>
      <c r="T187" s="196">
        <f t="shared" ref="T187:U187" si="63">IF(T$20, $H122, $H119)</f>
        <v>0</v>
      </c>
      <c r="U187" s="196">
        <f t="shared" si="63"/>
        <v>0</v>
      </c>
      <c r="V187" s="196">
        <f t="shared" ref="V187:W187" si="64">IF(V$20, $H122, $H119)</f>
        <v>0</v>
      </c>
      <c r="W187" s="196">
        <f t="shared" si="64"/>
        <v>0</v>
      </c>
      <c r="X187" s="196">
        <f t="shared" ref="X187:Y187" si="65">IF(X$20, $H122, $H119)</f>
        <v>0</v>
      </c>
      <c r="Y187" s="196">
        <f t="shared" si="65"/>
        <v>0</v>
      </c>
    </row>
    <row r="188" spans="5:25" x14ac:dyDescent="0.25">
      <c r="E188" s="71"/>
      <c r="F188" s="113" t="s">
        <v>464</v>
      </c>
      <c r="G188" s="89" t="s">
        <v>167</v>
      </c>
      <c r="H188" s="150"/>
      <c r="J188" s="188">
        <f t="shared" ref="J188:K188" si="66">IF(J$20, $H123, $H120)</f>
        <v>0</v>
      </c>
      <c r="K188" s="188">
        <f t="shared" si="66"/>
        <v>0</v>
      </c>
      <c r="L188" s="188">
        <f t="shared" ref="L188:M188" si="67">IF(L$20, $H123, $H120)</f>
        <v>0</v>
      </c>
      <c r="M188" s="188">
        <f t="shared" si="67"/>
        <v>0</v>
      </c>
      <c r="N188" s="188">
        <f t="shared" ref="N188:P188" si="68">IF(N$20, $H123, $H120)</f>
        <v>0</v>
      </c>
      <c r="O188" s="188">
        <f t="shared" si="68"/>
        <v>0</v>
      </c>
      <c r="P188" s="188">
        <f t="shared" si="68"/>
        <v>0</v>
      </c>
      <c r="Q188" s="188">
        <f t="shared" ref="Q188:S188" si="69">IF(Q$20, $H123, $H120)</f>
        <v>0</v>
      </c>
      <c r="R188" s="188">
        <f t="shared" si="69"/>
        <v>0</v>
      </c>
      <c r="S188" s="188">
        <f t="shared" si="69"/>
        <v>0</v>
      </c>
      <c r="T188" s="188">
        <f t="shared" ref="T188:U188" si="70">IF(T$20, $H123, $H120)</f>
        <v>0</v>
      </c>
      <c r="U188" s="188">
        <f t="shared" si="70"/>
        <v>0</v>
      </c>
      <c r="V188" s="188">
        <f t="shared" ref="V188:W188" si="71">IF(V$20, $H123, $H120)</f>
        <v>0</v>
      </c>
      <c r="W188" s="188">
        <f t="shared" si="71"/>
        <v>0</v>
      </c>
      <c r="X188" s="188">
        <f t="shared" ref="X188:Y188" si="72">IF(X$20, $H123, $H120)</f>
        <v>0</v>
      </c>
      <c r="Y188" s="188">
        <f t="shared" si="72"/>
        <v>0</v>
      </c>
    </row>
    <row r="189" spans="5:25" x14ac:dyDescent="0.25">
      <c r="E189" s="71"/>
      <c r="F189" s="115" t="s">
        <v>257</v>
      </c>
      <c r="G189" s="96" t="s">
        <v>167</v>
      </c>
      <c r="H189" s="184"/>
      <c r="I189" s="91"/>
      <c r="J189" s="197">
        <f t="shared" ref="J189:K189" si="73">IF(J$20, $H124, $H121)</f>
        <v>0</v>
      </c>
      <c r="K189" s="197">
        <f t="shared" si="73"/>
        <v>0</v>
      </c>
      <c r="L189" s="197">
        <f t="shared" ref="L189:M189" si="74">IF(L$20, $H124, $H121)</f>
        <v>0</v>
      </c>
      <c r="M189" s="197">
        <f t="shared" si="74"/>
        <v>0</v>
      </c>
      <c r="N189" s="197">
        <f t="shared" ref="N189:P189" si="75">IF(N$20, $H124, $H121)</f>
        <v>0</v>
      </c>
      <c r="O189" s="197">
        <f t="shared" si="75"/>
        <v>0</v>
      </c>
      <c r="P189" s="197">
        <f t="shared" si="75"/>
        <v>0</v>
      </c>
      <c r="Q189" s="197">
        <f t="shared" ref="Q189:S189" si="76">IF(Q$20, $H124, $H121)</f>
        <v>0</v>
      </c>
      <c r="R189" s="197">
        <f t="shared" si="76"/>
        <v>0</v>
      </c>
      <c r="S189" s="197">
        <f t="shared" si="76"/>
        <v>0</v>
      </c>
      <c r="T189" s="197">
        <f t="shared" ref="T189:U189" si="77">IF(T$20, $H124, $H121)</f>
        <v>0</v>
      </c>
      <c r="U189" s="197">
        <f t="shared" si="77"/>
        <v>0</v>
      </c>
      <c r="V189" s="197">
        <f t="shared" ref="V189:W189" si="78">IF(V$20, $H124, $H121)</f>
        <v>0</v>
      </c>
      <c r="W189" s="197">
        <f t="shared" si="78"/>
        <v>0</v>
      </c>
      <c r="X189" s="197">
        <f t="shared" ref="X189:Y189" si="79">IF(X$20, $H124, $H121)</f>
        <v>0</v>
      </c>
      <c r="Y189" s="197">
        <f t="shared" si="79"/>
        <v>0</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480</v>
      </c>
      <c r="G191" s="89"/>
    </row>
    <row r="192" spans="5:25" x14ac:dyDescent="0.25">
      <c r="E192" s="71"/>
      <c r="F192" s="111" t="s">
        <v>463</v>
      </c>
      <c r="G192" s="93" t="s">
        <v>167</v>
      </c>
      <c r="H192" s="149"/>
      <c r="I192" s="90"/>
      <c r="J192" s="196">
        <f t="shared" ref="J192:K192" si="80">IF(J$20, $H130, $H127)</f>
        <v>0.75344120840111983</v>
      </c>
      <c r="K192" s="196">
        <f t="shared" si="80"/>
        <v>0.75344120840111983</v>
      </c>
      <c r="L192" s="196">
        <f t="shared" ref="L192:M192" si="81">IF(L$20, $H130, $H127)</f>
        <v>0.75344120840111983</v>
      </c>
      <c r="M192" s="196">
        <f t="shared" si="81"/>
        <v>0.75344120840111983</v>
      </c>
      <c r="N192" s="196">
        <f t="shared" ref="N192:P192" si="82">IF(N$20, $H130, $H127)</f>
        <v>0.75344120840111983</v>
      </c>
      <c r="O192" s="196">
        <f t="shared" si="82"/>
        <v>0.75344120840111983</v>
      </c>
      <c r="P192" s="196">
        <f t="shared" si="82"/>
        <v>0.75344120840111983</v>
      </c>
      <c r="Q192" s="196">
        <f t="shared" ref="Q192:S192" si="83">IF(Q$20, $H130, $H127)</f>
        <v>0.69946786579381059</v>
      </c>
      <c r="R192" s="196">
        <f t="shared" si="83"/>
        <v>0.75344120840111983</v>
      </c>
      <c r="S192" s="196">
        <f t="shared" si="83"/>
        <v>0.75344120840111983</v>
      </c>
      <c r="T192" s="196">
        <f t="shared" ref="T192:U192" si="84">IF(T$20, $H130, $H127)</f>
        <v>0.75344120840111983</v>
      </c>
      <c r="U192" s="196">
        <f t="shared" si="84"/>
        <v>0.75344120840111983</v>
      </c>
      <c r="V192" s="196">
        <f t="shared" ref="V192:W192" si="85">IF(V$20, $H130, $H127)</f>
        <v>0.75344120840111983</v>
      </c>
      <c r="W192" s="196">
        <f t="shared" si="85"/>
        <v>0.75344120840111983</v>
      </c>
      <c r="X192" s="196">
        <f t="shared" ref="X192:Y192" si="86">IF(X$20, $H130, $H127)</f>
        <v>0.75344120840111983</v>
      </c>
      <c r="Y192" s="196">
        <f t="shared" si="86"/>
        <v>0.75344120840111983</v>
      </c>
    </row>
    <row r="193" spans="5:25" x14ac:dyDescent="0.25">
      <c r="E193" s="71"/>
      <c r="F193" s="113" t="s">
        <v>464</v>
      </c>
      <c r="G193" s="89" t="s">
        <v>167</v>
      </c>
      <c r="H193" s="150"/>
      <c r="J193" s="188">
        <f t="shared" ref="J193:K193" si="87">IF(J$20, $H131, $H128)</f>
        <v>0.23932441085978642</v>
      </c>
      <c r="K193" s="188">
        <f t="shared" si="87"/>
        <v>0.23932441085978642</v>
      </c>
      <c r="L193" s="188">
        <f t="shared" ref="L193:M193" si="88">IF(L$20, $H131, $H128)</f>
        <v>0.23932441085978642</v>
      </c>
      <c r="M193" s="188">
        <f t="shared" si="88"/>
        <v>0.23932441085978642</v>
      </c>
      <c r="N193" s="188">
        <f t="shared" ref="N193:P193" si="89">IF(N$20, $H131, $H128)</f>
        <v>0.23932441085978642</v>
      </c>
      <c r="O193" s="188">
        <f t="shared" si="89"/>
        <v>0.23932441085978642</v>
      </c>
      <c r="P193" s="188">
        <f t="shared" si="89"/>
        <v>0.23932441085978642</v>
      </c>
      <c r="Q193" s="188">
        <f t="shared" ref="Q193:S193" si="90">IF(Q$20, $H131, $H128)</f>
        <v>0.29329775346709563</v>
      </c>
      <c r="R193" s="188">
        <f t="shared" si="90"/>
        <v>0.23932441085978642</v>
      </c>
      <c r="S193" s="188">
        <f t="shared" si="90"/>
        <v>0.23932441085978642</v>
      </c>
      <c r="T193" s="188">
        <f t="shared" ref="T193:U193" si="91">IF(T$20, $H131, $H128)</f>
        <v>0.23932441085978642</v>
      </c>
      <c r="U193" s="188">
        <f t="shared" si="91"/>
        <v>0.23932441085978642</v>
      </c>
      <c r="V193" s="188">
        <f t="shared" ref="V193:W193" si="92">IF(V$20, $H131, $H128)</f>
        <v>0.23932441085978642</v>
      </c>
      <c r="W193" s="188">
        <f t="shared" si="92"/>
        <v>0.23932441085978642</v>
      </c>
      <c r="X193" s="188">
        <f t="shared" ref="X193:Y193" si="93">IF(X$20, $H131, $H128)</f>
        <v>0.23932441085978642</v>
      </c>
      <c r="Y193" s="188">
        <f t="shared" si="93"/>
        <v>0.23932441085978642</v>
      </c>
    </row>
    <row r="194" spans="5:25" x14ac:dyDescent="0.25">
      <c r="E194" s="71"/>
      <c r="F194" s="115" t="s">
        <v>257</v>
      </c>
      <c r="G194" s="96" t="s">
        <v>167</v>
      </c>
      <c r="H194" s="184"/>
      <c r="I194" s="91"/>
      <c r="J194" s="197">
        <f t="shared" ref="J194:K194" si="94">IF(J$20, $H132, $H129)</f>
        <v>7.2346618662699298E-3</v>
      </c>
      <c r="K194" s="197">
        <f t="shared" si="94"/>
        <v>7.2346618662699298E-3</v>
      </c>
      <c r="L194" s="197">
        <f t="shared" ref="L194:M194" si="95">IF(L$20, $H132, $H129)</f>
        <v>7.2346618662699298E-3</v>
      </c>
      <c r="M194" s="197">
        <f t="shared" si="95"/>
        <v>7.2346618662699298E-3</v>
      </c>
      <c r="N194" s="197">
        <f t="shared" ref="N194:P194" si="96">IF(N$20, $H132, $H129)</f>
        <v>7.2346618662699298E-3</v>
      </c>
      <c r="O194" s="197">
        <f t="shared" si="96"/>
        <v>7.2346618662699298E-3</v>
      </c>
      <c r="P194" s="197">
        <f t="shared" si="96"/>
        <v>7.2346618662699298E-3</v>
      </c>
      <c r="Q194" s="197">
        <f t="shared" ref="Q194:S194" si="97">IF(Q$20, $H132, $H129)</f>
        <v>7.2346618662699298E-3</v>
      </c>
      <c r="R194" s="197">
        <f t="shared" si="97"/>
        <v>7.2346618662699298E-3</v>
      </c>
      <c r="S194" s="197">
        <f t="shared" si="97"/>
        <v>7.2346618662699298E-3</v>
      </c>
      <c r="T194" s="197">
        <f t="shared" ref="T194:U194" si="98">IF(T$20, $H132, $H129)</f>
        <v>7.2346618662699298E-3</v>
      </c>
      <c r="U194" s="197">
        <f t="shared" si="98"/>
        <v>7.2346618662699298E-3</v>
      </c>
      <c r="V194" s="197">
        <f t="shared" ref="V194:W194" si="99">IF(V$20, $H132, $H129)</f>
        <v>7.2346618662699298E-3</v>
      </c>
      <c r="W194" s="197">
        <f t="shared" si="99"/>
        <v>7.2346618662699298E-3</v>
      </c>
      <c r="X194" s="197">
        <f t="shared" ref="X194:Y194" si="100">IF(X$20, $H132, $H129)</f>
        <v>7.2346618662699298E-3</v>
      </c>
      <c r="Y194" s="197">
        <f t="shared" si="100"/>
        <v>7.2346618662699298E-3</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481</v>
      </c>
      <c r="G196" s="89"/>
    </row>
    <row r="197" spans="5:25" x14ac:dyDescent="0.25">
      <c r="E197" s="71"/>
      <c r="F197" s="111" t="s">
        <v>463</v>
      </c>
      <c r="G197" s="93" t="s">
        <v>167</v>
      </c>
      <c r="H197" s="149"/>
      <c r="I197" s="90"/>
      <c r="J197" s="196">
        <f t="shared" ref="J197:K197" si="101">IF(J$20, $H138, $H135)</f>
        <v>0.60451701500933874</v>
      </c>
      <c r="K197" s="196">
        <f t="shared" si="101"/>
        <v>0.60451701500933874</v>
      </c>
      <c r="L197" s="196">
        <f t="shared" ref="L197:M197" si="102">IF(L$20, $H138, $H135)</f>
        <v>0.60451701500933874</v>
      </c>
      <c r="M197" s="196">
        <f t="shared" si="102"/>
        <v>0.60451701500933874</v>
      </c>
      <c r="N197" s="196">
        <f t="shared" ref="N197:P197" si="103">IF(N$20, $H138, $H135)</f>
        <v>0.60451701500933874</v>
      </c>
      <c r="O197" s="196">
        <f t="shared" si="103"/>
        <v>0.60451701500933874</v>
      </c>
      <c r="P197" s="196">
        <f t="shared" si="103"/>
        <v>0.60451701500933874</v>
      </c>
      <c r="Q197" s="196">
        <f t="shared" ref="Q197:S197" si="104">IF(Q$20, $H138, $H135)</f>
        <v>0.58082759369516379</v>
      </c>
      <c r="R197" s="196">
        <f t="shared" si="104"/>
        <v>0.60451701500933874</v>
      </c>
      <c r="S197" s="196">
        <f t="shared" si="104"/>
        <v>0.60451701500933874</v>
      </c>
      <c r="T197" s="196">
        <f t="shared" ref="T197:U197" si="105">IF(T$20, $H138, $H135)</f>
        <v>0.60451701500933874</v>
      </c>
      <c r="U197" s="196">
        <f t="shared" si="105"/>
        <v>0.60451701500933874</v>
      </c>
      <c r="V197" s="196">
        <f t="shared" ref="V197:W197" si="106">IF(V$20, $H138, $H135)</f>
        <v>0.60451701500933874</v>
      </c>
      <c r="W197" s="196">
        <f t="shared" si="106"/>
        <v>0.60451701500933874</v>
      </c>
      <c r="X197" s="196">
        <f t="shared" ref="X197:Y197" si="107">IF(X$20, $H138, $H135)</f>
        <v>0.60451701500933874</v>
      </c>
      <c r="Y197" s="196">
        <f t="shared" si="107"/>
        <v>0.60451701500933874</v>
      </c>
    </row>
    <row r="198" spans="5:25" x14ac:dyDescent="0.25">
      <c r="E198" s="71"/>
      <c r="F198" s="113" t="s">
        <v>464</v>
      </c>
      <c r="G198" s="89" t="s">
        <v>167</v>
      </c>
      <c r="H198" s="150"/>
      <c r="J198" s="188">
        <f t="shared" ref="J198:K198" si="108">IF(J$20, $H139, $H136)</f>
        <v>0.38575653098498325</v>
      </c>
      <c r="K198" s="188">
        <f t="shared" si="108"/>
        <v>0.38575653098498325</v>
      </c>
      <c r="L198" s="188">
        <f t="shared" ref="L198:M198" si="109">IF(L$20, $H139, $H136)</f>
        <v>0.38575653098498325</v>
      </c>
      <c r="M198" s="188">
        <f t="shared" si="109"/>
        <v>0.38575653098498325</v>
      </c>
      <c r="N198" s="188">
        <f t="shared" ref="N198:P198" si="110">IF(N$20, $H139, $H136)</f>
        <v>0.38575653098498325</v>
      </c>
      <c r="O198" s="188">
        <f t="shared" si="110"/>
        <v>0.38575653098498325</v>
      </c>
      <c r="P198" s="188">
        <f t="shared" si="110"/>
        <v>0.38575653098498325</v>
      </c>
      <c r="Q198" s="188">
        <f t="shared" ref="Q198:S198" si="111">IF(Q$20, $H139, $H136)</f>
        <v>0.40944595229915814</v>
      </c>
      <c r="R198" s="188">
        <f t="shared" si="111"/>
        <v>0.38575653098498325</v>
      </c>
      <c r="S198" s="188">
        <f t="shared" si="111"/>
        <v>0.38575653098498325</v>
      </c>
      <c r="T198" s="188">
        <f t="shared" ref="T198:U198" si="112">IF(T$20, $H139, $H136)</f>
        <v>0.38575653098498325</v>
      </c>
      <c r="U198" s="188">
        <f t="shared" si="112"/>
        <v>0.38575653098498325</v>
      </c>
      <c r="V198" s="188">
        <f t="shared" ref="V198:W198" si="113">IF(V$20, $H139, $H136)</f>
        <v>0.38575653098498325</v>
      </c>
      <c r="W198" s="188">
        <f t="shared" si="113"/>
        <v>0.38575653098498325</v>
      </c>
      <c r="X198" s="188">
        <f t="shared" ref="X198:Y198" si="114">IF(X$20, $H139, $H136)</f>
        <v>0.38575653098498325</v>
      </c>
      <c r="Y198" s="188">
        <f t="shared" si="114"/>
        <v>0.38575653098498325</v>
      </c>
    </row>
    <row r="199" spans="5:25" x14ac:dyDescent="0.25">
      <c r="E199" s="71"/>
      <c r="F199" s="115" t="s">
        <v>257</v>
      </c>
      <c r="G199" s="96" t="s">
        <v>167</v>
      </c>
      <c r="H199" s="184"/>
      <c r="I199" s="91"/>
      <c r="J199" s="197">
        <f t="shared" ref="J199:K199" si="115">IF(J$20, $H140, $H137)</f>
        <v>9.7264540056779831E-3</v>
      </c>
      <c r="K199" s="197">
        <f t="shared" si="115"/>
        <v>9.7264540056779831E-3</v>
      </c>
      <c r="L199" s="197">
        <f t="shared" ref="L199:M199" si="116">IF(L$20, $H140, $H137)</f>
        <v>9.7264540056779831E-3</v>
      </c>
      <c r="M199" s="197">
        <f t="shared" si="116"/>
        <v>9.7264540056779831E-3</v>
      </c>
      <c r="N199" s="197">
        <f t="shared" ref="N199:P199" si="117">IF(N$20, $H140, $H137)</f>
        <v>9.7264540056779831E-3</v>
      </c>
      <c r="O199" s="197">
        <f t="shared" si="117"/>
        <v>9.7264540056779831E-3</v>
      </c>
      <c r="P199" s="197">
        <f t="shared" si="117"/>
        <v>9.7264540056779831E-3</v>
      </c>
      <c r="Q199" s="197">
        <f t="shared" ref="Q199:S199" si="118">IF(Q$20, $H140, $H137)</f>
        <v>9.7264540056779831E-3</v>
      </c>
      <c r="R199" s="197">
        <f t="shared" si="118"/>
        <v>9.7264540056779831E-3</v>
      </c>
      <c r="S199" s="197">
        <f t="shared" si="118"/>
        <v>9.7264540056779831E-3</v>
      </c>
      <c r="T199" s="197">
        <f t="shared" ref="T199:U199" si="119">IF(T$20, $H140, $H137)</f>
        <v>9.7264540056779831E-3</v>
      </c>
      <c r="U199" s="197">
        <f t="shared" si="119"/>
        <v>9.7264540056779831E-3</v>
      </c>
      <c r="V199" s="197">
        <f t="shared" ref="V199:W199" si="120">IF(V$20, $H140, $H137)</f>
        <v>9.7264540056779831E-3</v>
      </c>
      <c r="W199" s="197">
        <f t="shared" si="120"/>
        <v>9.7264540056779831E-3</v>
      </c>
      <c r="X199" s="197">
        <f t="shared" ref="X199:Y199" si="121">IF(X$20, $H140, $H137)</f>
        <v>9.7264540056779831E-3</v>
      </c>
      <c r="Y199" s="197">
        <f t="shared" si="121"/>
        <v>9.7264540056779831E-3</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482</v>
      </c>
      <c r="G201" s="89"/>
    </row>
    <row r="202" spans="5:25" x14ac:dyDescent="0.25">
      <c r="E202" s="71"/>
      <c r="F202" s="111" t="s">
        <v>463</v>
      </c>
      <c r="G202" s="93" t="s">
        <v>167</v>
      </c>
      <c r="H202" s="149"/>
      <c r="I202" s="90"/>
      <c r="J202" s="196">
        <f t="shared" ref="J202:K202" si="122">IF(J$20, $H146, $H143)</f>
        <v>0</v>
      </c>
      <c r="K202" s="196">
        <f t="shared" si="122"/>
        <v>0</v>
      </c>
      <c r="L202" s="196">
        <f t="shared" ref="L202:M202" si="123">IF(L$20, $H146, $H143)</f>
        <v>0</v>
      </c>
      <c r="M202" s="196">
        <f t="shared" si="123"/>
        <v>0</v>
      </c>
      <c r="N202" s="196">
        <f t="shared" ref="N202:P202" si="124">IF(N$20, $H146, $H143)</f>
        <v>0</v>
      </c>
      <c r="O202" s="196">
        <f t="shared" si="124"/>
        <v>0</v>
      </c>
      <c r="P202" s="196">
        <f t="shared" si="124"/>
        <v>0</v>
      </c>
      <c r="Q202" s="196">
        <f t="shared" ref="Q202:S202" si="125">IF(Q$20, $H146, $H143)</f>
        <v>0</v>
      </c>
      <c r="R202" s="196">
        <f t="shared" si="125"/>
        <v>0</v>
      </c>
      <c r="S202" s="196">
        <f t="shared" si="125"/>
        <v>0</v>
      </c>
      <c r="T202" s="196">
        <f t="shared" ref="T202:U202" si="126">IF(T$20, $H146, $H143)</f>
        <v>0</v>
      </c>
      <c r="U202" s="196">
        <f t="shared" si="126"/>
        <v>0</v>
      </c>
      <c r="V202" s="196">
        <f t="shared" ref="V202:W202" si="127">IF(V$20, $H146, $H143)</f>
        <v>0</v>
      </c>
      <c r="W202" s="196">
        <f t="shared" si="127"/>
        <v>0</v>
      </c>
      <c r="X202" s="196">
        <f t="shared" ref="X202:Y202" si="128">IF(X$20, $H146, $H143)</f>
        <v>0</v>
      </c>
      <c r="Y202" s="196">
        <f t="shared" si="128"/>
        <v>0</v>
      </c>
    </row>
    <row r="203" spans="5:25" x14ac:dyDescent="0.25">
      <c r="E203" s="71"/>
      <c r="F203" s="113" t="s">
        <v>464</v>
      </c>
      <c r="G203" s="89" t="s">
        <v>167</v>
      </c>
      <c r="H203" s="150"/>
      <c r="J203" s="188">
        <f t="shared" ref="J203:K203" si="129">IF(J$20, $H147, $H144)</f>
        <v>0</v>
      </c>
      <c r="K203" s="188">
        <f t="shared" si="129"/>
        <v>0</v>
      </c>
      <c r="L203" s="188">
        <f t="shared" ref="L203:M203" si="130">IF(L$20, $H147, $H144)</f>
        <v>0</v>
      </c>
      <c r="M203" s="188">
        <f t="shared" si="130"/>
        <v>0</v>
      </c>
      <c r="N203" s="188">
        <f t="shared" ref="N203:P203" si="131">IF(N$20, $H147, $H144)</f>
        <v>0</v>
      </c>
      <c r="O203" s="188">
        <f t="shared" si="131"/>
        <v>0</v>
      </c>
      <c r="P203" s="188">
        <f t="shared" si="131"/>
        <v>0</v>
      </c>
      <c r="Q203" s="188">
        <f t="shared" ref="Q203:S203" si="132">IF(Q$20, $H147, $H144)</f>
        <v>0</v>
      </c>
      <c r="R203" s="188">
        <f t="shared" si="132"/>
        <v>0</v>
      </c>
      <c r="S203" s="188">
        <f t="shared" si="132"/>
        <v>0</v>
      </c>
      <c r="T203" s="188">
        <f t="shared" ref="T203:U203" si="133">IF(T$20, $H147, $H144)</f>
        <v>0</v>
      </c>
      <c r="U203" s="188">
        <f t="shared" si="133"/>
        <v>0</v>
      </c>
      <c r="V203" s="188">
        <f t="shared" ref="V203:W203" si="134">IF(V$20, $H147, $H144)</f>
        <v>0</v>
      </c>
      <c r="W203" s="188">
        <f t="shared" si="134"/>
        <v>0</v>
      </c>
      <c r="X203" s="188">
        <f t="shared" ref="X203:Y203" si="135">IF(X$20, $H147, $H144)</f>
        <v>0</v>
      </c>
      <c r="Y203" s="188">
        <f t="shared" si="135"/>
        <v>0</v>
      </c>
    </row>
    <row r="204" spans="5:25" x14ac:dyDescent="0.25">
      <c r="E204" s="71"/>
      <c r="F204" s="115" t="s">
        <v>257</v>
      </c>
      <c r="G204" s="96" t="s">
        <v>167</v>
      </c>
      <c r="H204" s="184"/>
      <c r="I204" s="91"/>
      <c r="J204" s="197">
        <f t="shared" ref="J204:K204" si="136">IF(J$20, $H148, $H145)</f>
        <v>0</v>
      </c>
      <c r="K204" s="197">
        <f t="shared" si="136"/>
        <v>0</v>
      </c>
      <c r="L204" s="197">
        <f t="shared" ref="L204:M204" si="137">IF(L$20, $H148, $H145)</f>
        <v>0</v>
      </c>
      <c r="M204" s="197">
        <f t="shared" si="137"/>
        <v>0</v>
      </c>
      <c r="N204" s="197">
        <f t="shared" ref="N204:P204" si="138">IF(N$20, $H148, $H145)</f>
        <v>0</v>
      </c>
      <c r="O204" s="197">
        <f t="shared" si="138"/>
        <v>0</v>
      </c>
      <c r="P204" s="197">
        <f t="shared" si="138"/>
        <v>0</v>
      </c>
      <c r="Q204" s="197">
        <f t="shared" ref="Q204:S204" si="139">IF(Q$20, $H148, $H145)</f>
        <v>0</v>
      </c>
      <c r="R204" s="197">
        <f t="shared" si="139"/>
        <v>0</v>
      </c>
      <c r="S204" s="197">
        <f t="shared" si="139"/>
        <v>0</v>
      </c>
      <c r="T204" s="197">
        <f t="shared" ref="T204:U204" si="140">IF(T$20, $H148, $H145)</f>
        <v>0</v>
      </c>
      <c r="U204" s="197">
        <f t="shared" si="140"/>
        <v>0</v>
      </c>
      <c r="V204" s="197">
        <f t="shared" ref="V204:W204" si="141">IF(V$20, $H148, $H145)</f>
        <v>0</v>
      </c>
      <c r="W204" s="197">
        <f t="shared" si="141"/>
        <v>0</v>
      </c>
      <c r="X204" s="197">
        <f t="shared" ref="X204:Y204" si="142">IF(X$20, $H148, $H145)</f>
        <v>0</v>
      </c>
      <c r="Y204" s="197">
        <f t="shared" si="142"/>
        <v>0</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483</v>
      </c>
      <c r="G206" s="89"/>
    </row>
    <row r="207" spans="5:25" x14ac:dyDescent="0.25">
      <c r="E207" s="71"/>
      <c r="F207" s="111" t="s">
        <v>463</v>
      </c>
      <c r="G207" s="93" t="s">
        <v>167</v>
      </c>
      <c r="H207" s="149"/>
      <c r="I207" s="90"/>
      <c r="J207" s="196">
        <f t="shared" ref="J207:K207" si="143">IF(J$20, $H154, $H151)</f>
        <v>0.60451701500933874</v>
      </c>
      <c r="K207" s="196">
        <f t="shared" si="143"/>
        <v>0.60451701500933874</v>
      </c>
      <c r="L207" s="196">
        <f t="shared" ref="L207:M207" si="144">IF(L$20, $H154, $H151)</f>
        <v>0.60451701500933874</v>
      </c>
      <c r="M207" s="196">
        <f t="shared" si="144"/>
        <v>0.60451701500933874</v>
      </c>
      <c r="N207" s="196">
        <f t="shared" ref="N207:P207" si="145">IF(N$20, $H154, $H151)</f>
        <v>0.60451701500933874</v>
      </c>
      <c r="O207" s="196">
        <f t="shared" si="145"/>
        <v>0.60451701500933874</v>
      </c>
      <c r="P207" s="196">
        <f t="shared" si="145"/>
        <v>0.60451701500933874</v>
      </c>
      <c r="Q207" s="196">
        <f t="shared" ref="Q207:S207" si="146">IF(Q$20, $H154, $H151)</f>
        <v>0.58082759369516379</v>
      </c>
      <c r="R207" s="196">
        <f t="shared" si="146"/>
        <v>0.60451701500933874</v>
      </c>
      <c r="S207" s="196">
        <f t="shared" si="146"/>
        <v>0.60451701500933874</v>
      </c>
      <c r="T207" s="196">
        <f t="shared" ref="T207:U207" si="147">IF(T$20, $H154, $H151)</f>
        <v>0.60451701500933874</v>
      </c>
      <c r="U207" s="196">
        <f t="shared" si="147"/>
        <v>0.60451701500933874</v>
      </c>
      <c r="V207" s="196">
        <f t="shared" ref="V207:W207" si="148">IF(V$20, $H154, $H151)</f>
        <v>0.60451701500933874</v>
      </c>
      <c r="W207" s="196">
        <f t="shared" si="148"/>
        <v>0.60451701500933874</v>
      </c>
      <c r="X207" s="196">
        <f t="shared" ref="X207:Y207" si="149">IF(X$20, $H154, $H151)</f>
        <v>0.60451701500933874</v>
      </c>
      <c r="Y207" s="196">
        <f t="shared" si="149"/>
        <v>0.60451701500933874</v>
      </c>
    </row>
    <row r="208" spans="5:25" x14ac:dyDescent="0.25">
      <c r="E208" s="71"/>
      <c r="F208" s="113" t="s">
        <v>464</v>
      </c>
      <c r="G208" s="89" t="s">
        <v>167</v>
      </c>
      <c r="H208" s="150"/>
      <c r="J208" s="188">
        <f t="shared" ref="J208:K208" si="150">IF(J$20, $H155, $H152)</f>
        <v>0.38575653098498325</v>
      </c>
      <c r="K208" s="188">
        <f t="shared" si="150"/>
        <v>0.38575653098498325</v>
      </c>
      <c r="L208" s="188">
        <f t="shared" ref="L208:M208" si="151">IF(L$20, $H155, $H152)</f>
        <v>0.38575653098498325</v>
      </c>
      <c r="M208" s="188">
        <f t="shared" si="151"/>
        <v>0.38575653098498325</v>
      </c>
      <c r="N208" s="188">
        <f t="shared" ref="N208:P208" si="152">IF(N$20, $H155, $H152)</f>
        <v>0.38575653098498325</v>
      </c>
      <c r="O208" s="188">
        <f t="shared" si="152"/>
        <v>0.38575653098498325</v>
      </c>
      <c r="P208" s="188">
        <f t="shared" si="152"/>
        <v>0.38575653098498325</v>
      </c>
      <c r="Q208" s="188">
        <f t="shared" ref="Q208:S208" si="153">IF(Q$20, $H155, $H152)</f>
        <v>0.40944595229915814</v>
      </c>
      <c r="R208" s="188">
        <f t="shared" si="153"/>
        <v>0.38575653098498325</v>
      </c>
      <c r="S208" s="188">
        <f t="shared" si="153"/>
        <v>0.38575653098498325</v>
      </c>
      <c r="T208" s="188">
        <f t="shared" ref="T208:U208" si="154">IF(T$20, $H155, $H152)</f>
        <v>0.38575653098498325</v>
      </c>
      <c r="U208" s="188">
        <f t="shared" si="154"/>
        <v>0.38575653098498325</v>
      </c>
      <c r="V208" s="188">
        <f t="shared" ref="V208:W208" si="155">IF(V$20, $H155, $H152)</f>
        <v>0.38575653098498325</v>
      </c>
      <c r="W208" s="188">
        <f t="shared" si="155"/>
        <v>0.38575653098498325</v>
      </c>
      <c r="X208" s="188">
        <f t="shared" ref="X208:Y208" si="156">IF(X$20, $H155, $H152)</f>
        <v>0.38575653098498325</v>
      </c>
      <c r="Y208" s="188">
        <f t="shared" si="156"/>
        <v>0.38575653098498325</v>
      </c>
    </row>
    <row r="209" spans="3:27" x14ac:dyDescent="0.25">
      <c r="E209" s="71"/>
      <c r="F209" s="115" t="s">
        <v>257</v>
      </c>
      <c r="G209" s="96" t="s">
        <v>167</v>
      </c>
      <c r="H209" s="184"/>
      <c r="I209" s="91"/>
      <c r="J209" s="197">
        <f t="shared" ref="J209:K209" si="157">IF(J$20, $H156, $H153)</f>
        <v>9.7264540056779831E-3</v>
      </c>
      <c r="K209" s="197">
        <f t="shared" si="157"/>
        <v>9.7264540056779831E-3</v>
      </c>
      <c r="L209" s="197">
        <f t="shared" ref="L209:M209" si="158">IF(L$20, $H156, $H153)</f>
        <v>9.7264540056779831E-3</v>
      </c>
      <c r="M209" s="197">
        <f t="shared" si="158"/>
        <v>9.7264540056779831E-3</v>
      </c>
      <c r="N209" s="197">
        <f t="shared" ref="N209:P209" si="159">IF(N$20, $H156, $H153)</f>
        <v>9.7264540056779831E-3</v>
      </c>
      <c r="O209" s="197">
        <f t="shared" si="159"/>
        <v>9.7264540056779831E-3</v>
      </c>
      <c r="P209" s="197">
        <f t="shared" si="159"/>
        <v>9.7264540056779831E-3</v>
      </c>
      <c r="Q209" s="197">
        <f t="shared" ref="Q209:S209" si="160">IF(Q$20, $H156, $H153)</f>
        <v>9.7264540056779831E-3</v>
      </c>
      <c r="R209" s="197">
        <f t="shared" si="160"/>
        <v>9.7264540056779831E-3</v>
      </c>
      <c r="S209" s="197">
        <f t="shared" si="160"/>
        <v>9.7264540056779831E-3</v>
      </c>
      <c r="T209" s="197">
        <f t="shared" ref="T209:U209" si="161">IF(T$20, $H156, $H153)</f>
        <v>9.7264540056779831E-3</v>
      </c>
      <c r="U209" s="197">
        <f t="shared" si="161"/>
        <v>9.7264540056779831E-3</v>
      </c>
      <c r="V209" s="197">
        <f t="shared" ref="V209:W209" si="162">IF(V$20, $H156, $H153)</f>
        <v>9.7264540056779831E-3</v>
      </c>
      <c r="W209" s="197">
        <f t="shared" si="162"/>
        <v>9.7264540056779831E-3</v>
      </c>
      <c r="X209" s="197">
        <f t="shared" ref="X209:Y209" si="163">IF(X$20, $H156, $H153)</f>
        <v>9.7264540056779831E-3</v>
      </c>
      <c r="Y209" s="197">
        <f t="shared" si="163"/>
        <v>9.7264540056779831E-3</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484</v>
      </c>
      <c r="G211" s="89"/>
    </row>
    <row r="212" spans="3:27" x14ac:dyDescent="0.25">
      <c r="E212" s="71"/>
      <c r="F212" s="111" t="s">
        <v>463</v>
      </c>
      <c r="G212" s="93" t="s">
        <v>167</v>
      </c>
      <c r="H212" s="149"/>
      <c r="I212" s="90"/>
      <c r="J212" s="196">
        <f t="shared" ref="J212:K212" si="164">IF(J$20, $H162, $H159)</f>
        <v>0.60451701500933874</v>
      </c>
      <c r="K212" s="196">
        <f t="shared" si="164"/>
        <v>0.60451701500933874</v>
      </c>
      <c r="L212" s="196">
        <f t="shared" ref="L212:M212" si="165">IF(L$20, $H162, $H159)</f>
        <v>0.60451701500933874</v>
      </c>
      <c r="M212" s="196">
        <f t="shared" si="165"/>
        <v>0.60451701500933874</v>
      </c>
      <c r="N212" s="196">
        <f t="shared" ref="N212:P212" si="166">IF(N$20, $H162, $H159)</f>
        <v>0.60451701500933874</v>
      </c>
      <c r="O212" s="196">
        <f t="shared" si="166"/>
        <v>0.60451701500933874</v>
      </c>
      <c r="P212" s="196">
        <f t="shared" si="166"/>
        <v>0.60451701500933874</v>
      </c>
      <c r="Q212" s="196">
        <f t="shared" ref="Q212:S212" si="167">IF(Q$20, $H162, $H159)</f>
        <v>0.58082759369516379</v>
      </c>
      <c r="R212" s="196">
        <f t="shared" si="167"/>
        <v>0.60451701500933874</v>
      </c>
      <c r="S212" s="196">
        <f t="shared" si="167"/>
        <v>0.60451701500933874</v>
      </c>
      <c r="T212" s="196">
        <f t="shared" ref="T212:U212" si="168">IF(T$20, $H162, $H159)</f>
        <v>0.60451701500933874</v>
      </c>
      <c r="U212" s="196">
        <f t="shared" si="168"/>
        <v>0.60451701500933874</v>
      </c>
      <c r="V212" s="196">
        <f t="shared" ref="V212:W212" si="169">IF(V$20, $H162, $H159)</f>
        <v>0.60451701500933874</v>
      </c>
      <c r="W212" s="196">
        <f t="shared" si="169"/>
        <v>0.60451701500933874</v>
      </c>
      <c r="X212" s="196">
        <f t="shared" ref="X212:Y212" si="170">IF(X$20, $H162, $H159)</f>
        <v>0.60451701500933874</v>
      </c>
      <c r="Y212" s="196">
        <f t="shared" si="170"/>
        <v>0.60451701500933874</v>
      </c>
    </row>
    <row r="213" spans="3:27" x14ac:dyDescent="0.25">
      <c r="E213" s="71"/>
      <c r="F213" s="113" t="s">
        <v>464</v>
      </c>
      <c r="G213" s="89" t="s">
        <v>167</v>
      </c>
      <c r="H213" s="150"/>
      <c r="J213" s="188">
        <f t="shared" ref="J213:K213" si="171">IF(J$20, $H163, $H160)</f>
        <v>0.38575653098498325</v>
      </c>
      <c r="K213" s="188">
        <f t="shared" si="171"/>
        <v>0.38575653098498325</v>
      </c>
      <c r="L213" s="188">
        <f t="shared" ref="L213:M213" si="172">IF(L$20, $H163, $H160)</f>
        <v>0.38575653098498325</v>
      </c>
      <c r="M213" s="188">
        <f t="shared" si="172"/>
        <v>0.38575653098498325</v>
      </c>
      <c r="N213" s="188">
        <f t="shared" ref="N213:P213" si="173">IF(N$20, $H163, $H160)</f>
        <v>0.38575653098498325</v>
      </c>
      <c r="O213" s="188">
        <f t="shared" si="173"/>
        <v>0.38575653098498325</v>
      </c>
      <c r="P213" s="188">
        <f t="shared" si="173"/>
        <v>0.38575653098498325</v>
      </c>
      <c r="Q213" s="188">
        <f t="shared" ref="Q213:S213" si="174">IF(Q$20, $H163, $H160)</f>
        <v>0.40944595229915814</v>
      </c>
      <c r="R213" s="188">
        <f t="shared" si="174"/>
        <v>0.38575653098498325</v>
      </c>
      <c r="S213" s="188">
        <f t="shared" si="174"/>
        <v>0.38575653098498325</v>
      </c>
      <c r="T213" s="188">
        <f t="shared" ref="T213:U213" si="175">IF(T$20, $H163, $H160)</f>
        <v>0.38575653098498325</v>
      </c>
      <c r="U213" s="188">
        <f t="shared" si="175"/>
        <v>0.38575653098498325</v>
      </c>
      <c r="V213" s="188">
        <f t="shared" ref="V213:W213" si="176">IF(V$20, $H163, $H160)</f>
        <v>0.38575653098498325</v>
      </c>
      <c r="W213" s="188">
        <f t="shared" si="176"/>
        <v>0.38575653098498325</v>
      </c>
      <c r="X213" s="188">
        <f t="shared" ref="X213:Y213" si="177">IF(X$20, $H163, $H160)</f>
        <v>0.38575653098498325</v>
      </c>
      <c r="Y213" s="188">
        <f t="shared" si="177"/>
        <v>0.38575653098498325</v>
      </c>
    </row>
    <row r="214" spans="3:27" x14ac:dyDescent="0.25">
      <c r="E214" s="71"/>
      <c r="F214" s="115" t="s">
        <v>257</v>
      </c>
      <c r="G214" s="96" t="s">
        <v>167</v>
      </c>
      <c r="H214" s="184"/>
      <c r="I214" s="91"/>
      <c r="J214" s="197">
        <f t="shared" ref="J214:K214" si="178">IF(J$20, $H164, $H161)</f>
        <v>9.7264540056779831E-3</v>
      </c>
      <c r="K214" s="197">
        <f t="shared" si="178"/>
        <v>9.7264540056779831E-3</v>
      </c>
      <c r="L214" s="197">
        <f t="shared" ref="L214:M214" si="179">IF(L$20, $H164, $H161)</f>
        <v>9.7264540056779831E-3</v>
      </c>
      <c r="M214" s="197">
        <f t="shared" si="179"/>
        <v>9.7264540056779831E-3</v>
      </c>
      <c r="N214" s="197">
        <f t="shared" ref="N214:P214" si="180">IF(N$20, $H164, $H161)</f>
        <v>9.7264540056779831E-3</v>
      </c>
      <c r="O214" s="197">
        <f t="shared" si="180"/>
        <v>9.7264540056779831E-3</v>
      </c>
      <c r="P214" s="197">
        <f t="shared" si="180"/>
        <v>9.7264540056779831E-3</v>
      </c>
      <c r="Q214" s="197">
        <f t="shared" ref="Q214:S214" si="181">IF(Q$20, $H164, $H161)</f>
        <v>9.7264540056779831E-3</v>
      </c>
      <c r="R214" s="197">
        <f t="shared" si="181"/>
        <v>9.7264540056779831E-3</v>
      </c>
      <c r="S214" s="197">
        <f t="shared" si="181"/>
        <v>9.7264540056779831E-3</v>
      </c>
      <c r="T214" s="197">
        <f t="shared" ref="T214:U214" si="182">IF(T$20, $H164, $H161)</f>
        <v>9.7264540056779831E-3</v>
      </c>
      <c r="U214" s="197">
        <f t="shared" si="182"/>
        <v>9.7264540056779831E-3</v>
      </c>
      <c r="V214" s="197">
        <f t="shared" ref="V214:W214" si="183">IF(V$20, $H164, $H161)</f>
        <v>9.7264540056779831E-3</v>
      </c>
      <c r="W214" s="197">
        <f t="shared" si="183"/>
        <v>9.7264540056779831E-3</v>
      </c>
      <c r="X214" s="197">
        <f t="shared" ref="X214:Y214" si="184">IF(X$20, $H164, $H161)</f>
        <v>9.7264540056779831E-3</v>
      </c>
      <c r="Y214" s="197">
        <f t="shared" si="184"/>
        <v>9.7264540056779831E-3</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485</v>
      </c>
      <c r="G216" s="89"/>
    </row>
    <row r="217" spans="3:27" x14ac:dyDescent="0.25">
      <c r="E217" s="71"/>
      <c r="F217" s="111" t="s">
        <v>463</v>
      </c>
      <c r="G217" s="93" t="s">
        <v>167</v>
      </c>
      <c r="H217" s="149"/>
      <c r="I217" s="90"/>
      <c r="J217" s="196">
        <f t="shared" ref="J217:K217" si="185">IF(J$20, $H170, $H167)</f>
        <v>0.60451701500933874</v>
      </c>
      <c r="K217" s="196">
        <f t="shared" si="185"/>
        <v>0.60451701500933874</v>
      </c>
      <c r="L217" s="196">
        <f t="shared" ref="L217:M217" si="186">IF(L$20, $H170, $H167)</f>
        <v>0.60451701500933874</v>
      </c>
      <c r="M217" s="196">
        <f t="shared" si="186"/>
        <v>0.60451701500933874</v>
      </c>
      <c r="N217" s="196">
        <f t="shared" ref="N217:P217" si="187">IF(N$20, $H170, $H167)</f>
        <v>0.60451701500933874</v>
      </c>
      <c r="O217" s="196">
        <f t="shared" si="187"/>
        <v>0.60451701500933874</v>
      </c>
      <c r="P217" s="196">
        <f t="shared" si="187"/>
        <v>0.60451701500933874</v>
      </c>
      <c r="Q217" s="196">
        <f t="shared" ref="Q217:S217" si="188">IF(Q$20, $H170, $H167)</f>
        <v>0.58082759369516379</v>
      </c>
      <c r="R217" s="196">
        <f t="shared" si="188"/>
        <v>0.60451701500933874</v>
      </c>
      <c r="S217" s="196">
        <f t="shared" si="188"/>
        <v>0.60451701500933874</v>
      </c>
      <c r="T217" s="196">
        <f t="shared" ref="T217:U217" si="189">IF(T$20, $H170, $H167)</f>
        <v>0.60451701500933874</v>
      </c>
      <c r="U217" s="196">
        <f t="shared" si="189"/>
        <v>0.60451701500933874</v>
      </c>
      <c r="V217" s="196">
        <f t="shared" ref="V217:W217" si="190">IF(V$20, $H170, $H167)</f>
        <v>0.60451701500933874</v>
      </c>
      <c r="W217" s="196">
        <f t="shared" si="190"/>
        <v>0.60451701500933874</v>
      </c>
      <c r="X217" s="196">
        <f t="shared" ref="X217:Y217" si="191">IF(X$20, $H170, $H167)</f>
        <v>0.60451701500933874</v>
      </c>
      <c r="Y217" s="196">
        <f t="shared" si="191"/>
        <v>0.60451701500933874</v>
      </c>
    </row>
    <row r="218" spans="3:27" x14ac:dyDescent="0.25">
      <c r="E218" s="71"/>
      <c r="F218" s="113" t="s">
        <v>464</v>
      </c>
      <c r="G218" s="89" t="s">
        <v>167</v>
      </c>
      <c r="H218" s="150"/>
      <c r="J218" s="188">
        <f t="shared" ref="J218:K218" si="192">IF(J$20, $H171, $H168)</f>
        <v>0.38575653098498325</v>
      </c>
      <c r="K218" s="188">
        <f t="shared" si="192"/>
        <v>0.38575653098498325</v>
      </c>
      <c r="L218" s="188">
        <f t="shared" ref="L218:M218" si="193">IF(L$20, $H171, $H168)</f>
        <v>0.38575653098498325</v>
      </c>
      <c r="M218" s="188">
        <f t="shared" si="193"/>
        <v>0.38575653098498325</v>
      </c>
      <c r="N218" s="188">
        <f t="shared" ref="N218:P218" si="194">IF(N$20, $H171, $H168)</f>
        <v>0.38575653098498325</v>
      </c>
      <c r="O218" s="188">
        <f t="shared" si="194"/>
        <v>0.38575653098498325</v>
      </c>
      <c r="P218" s="188">
        <f t="shared" si="194"/>
        <v>0.38575653098498325</v>
      </c>
      <c r="Q218" s="188">
        <f t="shared" ref="Q218:S218" si="195">IF(Q$20, $H171, $H168)</f>
        <v>0.40944595229915814</v>
      </c>
      <c r="R218" s="188">
        <f t="shared" si="195"/>
        <v>0.38575653098498325</v>
      </c>
      <c r="S218" s="188">
        <f t="shared" si="195"/>
        <v>0.38575653098498325</v>
      </c>
      <c r="T218" s="188">
        <f t="shared" ref="T218:U218" si="196">IF(T$20, $H171, $H168)</f>
        <v>0.38575653098498325</v>
      </c>
      <c r="U218" s="188">
        <f t="shared" si="196"/>
        <v>0.38575653098498325</v>
      </c>
      <c r="V218" s="188">
        <f t="shared" ref="V218:W218" si="197">IF(V$20, $H171, $H168)</f>
        <v>0.38575653098498325</v>
      </c>
      <c r="W218" s="188">
        <f t="shared" si="197"/>
        <v>0.38575653098498325</v>
      </c>
      <c r="X218" s="188">
        <f t="shared" ref="X218:Y218" si="198">IF(X$20, $H171, $H168)</f>
        <v>0.38575653098498325</v>
      </c>
      <c r="Y218" s="188">
        <f t="shared" si="198"/>
        <v>0.38575653098498325</v>
      </c>
    </row>
    <row r="219" spans="3:27" x14ac:dyDescent="0.25">
      <c r="E219" s="71"/>
      <c r="F219" s="115" t="s">
        <v>257</v>
      </c>
      <c r="G219" s="96" t="s">
        <v>167</v>
      </c>
      <c r="H219" s="184"/>
      <c r="I219" s="91"/>
      <c r="J219" s="197">
        <f t="shared" ref="J219:K219" si="199">IF(J$20, $H172, $H169)</f>
        <v>9.7264540056779831E-3</v>
      </c>
      <c r="K219" s="197">
        <f t="shared" si="199"/>
        <v>9.7264540056779831E-3</v>
      </c>
      <c r="L219" s="197">
        <f t="shared" ref="L219:M219" si="200">IF(L$20, $H172, $H169)</f>
        <v>9.7264540056779831E-3</v>
      </c>
      <c r="M219" s="197">
        <f t="shared" si="200"/>
        <v>9.7264540056779831E-3</v>
      </c>
      <c r="N219" s="197">
        <f t="shared" ref="N219:P219" si="201">IF(N$20, $H172, $H169)</f>
        <v>9.7264540056779831E-3</v>
      </c>
      <c r="O219" s="197">
        <f t="shared" si="201"/>
        <v>9.7264540056779831E-3</v>
      </c>
      <c r="P219" s="197">
        <f t="shared" si="201"/>
        <v>9.7264540056779831E-3</v>
      </c>
      <c r="Q219" s="197">
        <f t="shared" ref="Q219:S219" si="202">IF(Q$20, $H172, $H169)</f>
        <v>9.7264540056779831E-3</v>
      </c>
      <c r="R219" s="197">
        <f t="shared" si="202"/>
        <v>9.7264540056779831E-3</v>
      </c>
      <c r="S219" s="197">
        <f t="shared" si="202"/>
        <v>9.7264540056779831E-3</v>
      </c>
      <c r="T219" s="197">
        <f t="shared" ref="T219:U219" si="203">IF(T$20, $H172, $H169)</f>
        <v>9.7264540056779831E-3</v>
      </c>
      <c r="U219" s="197">
        <f t="shared" si="203"/>
        <v>9.7264540056779831E-3</v>
      </c>
      <c r="V219" s="197">
        <f t="shared" ref="V219:W219" si="204">IF(V$20, $H172, $H169)</f>
        <v>9.7264540056779831E-3</v>
      </c>
      <c r="W219" s="197">
        <f t="shared" si="204"/>
        <v>9.7264540056779831E-3</v>
      </c>
      <c r="X219" s="197">
        <f t="shared" ref="X219:Y219" si="205">IF(X$20, $H172, $H169)</f>
        <v>9.7264540056779831E-3</v>
      </c>
      <c r="Y219" s="197">
        <f t="shared" si="205"/>
        <v>9.7264540056779831E-3</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486</v>
      </c>
      <c r="G223" s="89"/>
    </row>
    <row r="224" spans="3:27" x14ac:dyDescent="0.25">
      <c r="F224" s="93" t="s">
        <v>463</v>
      </c>
      <c r="G224" s="93" t="s">
        <v>487</v>
      </c>
      <c r="H224" s="90"/>
      <c r="I224" s="90"/>
      <c r="J224" s="222">
        <f t="shared" ref="J224:Y224" si="206">1 / J24</f>
        <v>1.277139208173691E-3</v>
      </c>
      <c r="K224" s="222">
        <f t="shared" si="206"/>
        <v>1.277139208173691E-3</v>
      </c>
      <c r="L224" s="222">
        <f t="shared" si="206"/>
        <v>1.277139208173691E-3</v>
      </c>
      <c r="M224" s="222">
        <f t="shared" si="206"/>
        <v>1.277139208173691E-3</v>
      </c>
      <c r="N224" s="222">
        <f t="shared" si="206"/>
        <v>1.277139208173691E-3</v>
      </c>
      <c r="O224" s="222">
        <f t="shared" si="206"/>
        <v>1.277139208173691E-3</v>
      </c>
      <c r="P224" s="222">
        <f t="shared" si="206"/>
        <v>1.277139208173691E-3</v>
      </c>
      <c r="Q224" s="222">
        <f t="shared" si="206"/>
        <v>3.9215686274509803E-3</v>
      </c>
      <c r="R224" s="222">
        <f t="shared" si="206"/>
        <v>1.277139208173691E-3</v>
      </c>
      <c r="S224" s="222">
        <f t="shared" si="206"/>
        <v>1.277139208173691E-3</v>
      </c>
      <c r="T224" s="222">
        <f t="shared" si="206"/>
        <v>1.277139208173691E-3</v>
      </c>
      <c r="U224" s="222">
        <f t="shared" si="206"/>
        <v>1.277139208173691E-3</v>
      </c>
      <c r="V224" s="222">
        <f t="shared" si="206"/>
        <v>1.277139208173691E-3</v>
      </c>
      <c r="W224" s="222">
        <f t="shared" si="206"/>
        <v>1.277139208173691E-3</v>
      </c>
      <c r="X224" s="222">
        <f t="shared" si="206"/>
        <v>1.277139208173691E-3</v>
      </c>
      <c r="Y224" s="222">
        <f t="shared" si="206"/>
        <v>1.277139208173691E-3</v>
      </c>
    </row>
    <row r="225" spans="5:25" x14ac:dyDescent="0.25">
      <c r="F225" s="89" t="s">
        <v>464</v>
      </c>
      <c r="G225" s="89" t="s">
        <v>487</v>
      </c>
      <c r="J225" s="101">
        <f t="shared" ref="J225:Y225" si="207">1 / J25</f>
        <v>2.9261155815654721E-4</v>
      </c>
      <c r="K225" s="101">
        <f t="shared" si="207"/>
        <v>2.9261155815654721E-4</v>
      </c>
      <c r="L225" s="101">
        <f t="shared" si="207"/>
        <v>2.9261155815654721E-4</v>
      </c>
      <c r="M225" s="101">
        <f t="shared" si="207"/>
        <v>2.9261155815654721E-4</v>
      </c>
      <c r="N225" s="101">
        <f t="shared" si="207"/>
        <v>2.9261155815654721E-4</v>
      </c>
      <c r="O225" s="101">
        <f t="shared" si="207"/>
        <v>2.9261155815654721E-4</v>
      </c>
      <c r="P225" s="101">
        <f t="shared" si="207"/>
        <v>2.9261155815654721E-4</v>
      </c>
      <c r="Q225" s="101">
        <f t="shared" si="207"/>
        <v>2.5345330122924852E-4</v>
      </c>
      <c r="R225" s="101">
        <f t="shared" si="207"/>
        <v>2.9261155815654721E-4</v>
      </c>
      <c r="S225" s="101">
        <f t="shared" si="207"/>
        <v>2.9261155815654721E-4</v>
      </c>
      <c r="T225" s="101">
        <f t="shared" si="207"/>
        <v>2.9261155815654721E-4</v>
      </c>
      <c r="U225" s="101">
        <f t="shared" si="207"/>
        <v>2.9261155815654721E-4</v>
      </c>
      <c r="V225" s="101">
        <f t="shared" si="207"/>
        <v>2.9261155815654721E-4</v>
      </c>
      <c r="W225" s="101">
        <f t="shared" si="207"/>
        <v>2.9261155815654721E-4</v>
      </c>
      <c r="X225" s="101">
        <f t="shared" si="207"/>
        <v>2.9261155815654721E-4</v>
      </c>
      <c r="Y225" s="101">
        <f t="shared" si="207"/>
        <v>2.9261155815654721E-4</v>
      </c>
    </row>
    <row r="226" spans="5:25" x14ac:dyDescent="0.25">
      <c r="F226" s="96" t="s">
        <v>257</v>
      </c>
      <c r="G226" s="96" t="s">
        <v>487</v>
      </c>
      <c r="H226" s="91"/>
      <c r="I226" s="91"/>
      <c r="J226" s="193">
        <f t="shared" ref="J226:Y226" si="208">1 / J26</f>
        <v>2.193222941111964E-4</v>
      </c>
      <c r="K226" s="193">
        <f t="shared" si="208"/>
        <v>2.193222941111964E-4</v>
      </c>
      <c r="L226" s="193">
        <f t="shared" si="208"/>
        <v>2.193222941111964E-4</v>
      </c>
      <c r="M226" s="193">
        <f t="shared" si="208"/>
        <v>2.193222941111964E-4</v>
      </c>
      <c r="N226" s="193">
        <f t="shared" si="208"/>
        <v>2.193222941111964E-4</v>
      </c>
      <c r="O226" s="193">
        <f t="shared" si="208"/>
        <v>2.193222941111964E-4</v>
      </c>
      <c r="P226" s="193">
        <f t="shared" si="208"/>
        <v>2.193222941111964E-4</v>
      </c>
      <c r="Q226" s="193">
        <f t="shared" si="208"/>
        <v>2.193222941111964E-4</v>
      </c>
      <c r="R226" s="193">
        <f t="shared" si="208"/>
        <v>2.193222941111964E-4</v>
      </c>
      <c r="S226" s="193">
        <f t="shared" si="208"/>
        <v>2.193222941111964E-4</v>
      </c>
      <c r="T226" s="193">
        <f t="shared" si="208"/>
        <v>2.193222941111964E-4</v>
      </c>
      <c r="U226" s="193">
        <f t="shared" si="208"/>
        <v>2.193222941111964E-4</v>
      </c>
      <c r="V226" s="193">
        <f t="shared" si="208"/>
        <v>2.193222941111964E-4</v>
      </c>
      <c r="W226" s="193">
        <f t="shared" si="208"/>
        <v>2.193222941111964E-4</v>
      </c>
      <c r="X226" s="193">
        <f t="shared" si="208"/>
        <v>2.193222941111964E-4</v>
      </c>
      <c r="Y226" s="193">
        <f t="shared" si="208"/>
        <v>2.193222941111964E-4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156</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191</v>
      </c>
      <c r="G229" s="93" t="s">
        <v>283</v>
      </c>
      <c r="H229" s="90"/>
      <c r="I229" s="90"/>
      <c r="J229" s="216">
        <f>J177 * J$224 * hours_in_year</f>
        <v>8.4293039407328347</v>
      </c>
      <c r="K229" s="216">
        <f t="shared" ref="K229:Y229" si="209">K177 * K$224 * hours_in_year</f>
        <v>8.4293039407328347</v>
      </c>
      <c r="L229" s="216">
        <f t="shared" si="209"/>
        <v>8.4293039407328347</v>
      </c>
      <c r="M229" s="216">
        <f t="shared" si="209"/>
        <v>8.4293039407328347</v>
      </c>
      <c r="N229" s="216">
        <f t="shared" si="209"/>
        <v>8.4293039407328347</v>
      </c>
      <c r="O229" s="216">
        <f t="shared" si="209"/>
        <v>8.4293039407328347</v>
      </c>
      <c r="P229" s="216">
        <f t="shared" si="209"/>
        <v>8.4293039407328347</v>
      </c>
      <c r="Q229" s="216">
        <f t="shared" si="209"/>
        <v>24.0287784484462</v>
      </c>
      <c r="R229" s="216">
        <f t="shared" si="209"/>
        <v>8.4293039407328347</v>
      </c>
      <c r="S229" s="216">
        <f t="shared" si="209"/>
        <v>8.4293039407328347</v>
      </c>
      <c r="T229" s="216">
        <f t="shared" si="209"/>
        <v>8.4293039407328347</v>
      </c>
      <c r="U229" s="216">
        <f t="shared" si="209"/>
        <v>8.4293039407328347</v>
      </c>
      <c r="V229" s="216">
        <f t="shared" si="209"/>
        <v>8.4293039407328347</v>
      </c>
      <c r="W229" s="216">
        <f t="shared" si="209"/>
        <v>8.4293039407328347</v>
      </c>
      <c r="X229" s="216">
        <f t="shared" si="209"/>
        <v>8.4293039407328347</v>
      </c>
      <c r="Y229" s="216">
        <f t="shared" si="209"/>
        <v>8.4293039407328347</v>
      </c>
    </row>
    <row r="230" spans="5:25" x14ac:dyDescent="0.25">
      <c r="F230" s="224" t="s">
        <v>192</v>
      </c>
      <c r="G230" s="89" t="s">
        <v>283</v>
      </c>
      <c r="J230" s="216">
        <f t="shared" ref="J230:Y230" si="210">J182 * J224 * hours_in_year</f>
        <v>0</v>
      </c>
      <c r="K230" s="216">
        <f t="shared" si="210"/>
        <v>0</v>
      </c>
      <c r="L230" s="216">
        <f t="shared" si="210"/>
        <v>0</v>
      </c>
      <c r="M230" s="216">
        <f t="shared" si="210"/>
        <v>0</v>
      </c>
      <c r="N230" s="216">
        <f t="shared" si="210"/>
        <v>0</v>
      </c>
      <c r="O230" s="216">
        <f t="shared" si="210"/>
        <v>0</v>
      </c>
      <c r="P230" s="216">
        <f t="shared" si="210"/>
        <v>0</v>
      </c>
      <c r="Q230" s="216">
        <f t="shared" si="210"/>
        <v>0</v>
      </c>
      <c r="R230" s="216">
        <f t="shared" si="210"/>
        <v>0</v>
      </c>
      <c r="S230" s="216">
        <f t="shared" si="210"/>
        <v>0</v>
      </c>
      <c r="T230" s="216">
        <f t="shared" si="210"/>
        <v>0</v>
      </c>
      <c r="U230" s="216">
        <f t="shared" si="210"/>
        <v>0</v>
      </c>
      <c r="V230" s="216">
        <f t="shared" si="210"/>
        <v>0</v>
      </c>
      <c r="W230" s="216">
        <f t="shared" si="210"/>
        <v>0</v>
      </c>
      <c r="X230" s="216">
        <f t="shared" si="210"/>
        <v>0</v>
      </c>
      <c r="Y230" s="216">
        <f t="shared" si="210"/>
        <v>0</v>
      </c>
    </row>
    <row r="231" spans="5:25" x14ac:dyDescent="0.25">
      <c r="F231" s="224" t="s">
        <v>193</v>
      </c>
      <c r="G231" s="89" t="s">
        <v>283</v>
      </c>
      <c r="J231" s="216">
        <f t="shared" ref="J231:Y231" si="211">J187 * J224 * hours_in_year</f>
        <v>0</v>
      </c>
      <c r="K231" s="216">
        <f t="shared" si="211"/>
        <v>0</v>
      </c>
      <c r="L231" s="216">
        <f t="shared" si="211"/>
        <v>0</v>
      </c>
      <c r="M231" s="216">
        <f t="shared" si="211"/>
        <v>0</v>
      </c>
      <c r="N231" s="216">
        <f t="shared" si="211"/>
        <v>0</v>
      </c>
      <c r="O231" s="216">
        <f t="shared" si="211"/>
        <v>0</v>
      </c>
      <c r="P231" s="216">
        <f t="shared" si="211"/>
        <v>0</v>
      </c>
      <c r="Q231" s="216">
        <f t="shared" si="211"/>
        <v>0</v>
      </c>
      <c r="R231" s="216">
        <f t="shared" si="211"/>
        <v>0</v>
      </c>
      <c r="S231" s="216">
        <f t="shared" si="211"/>
        <v>0</v>
      </c>
      <c r="T231" s="216">
        <f t="shared" si="211"/>
        <v>0</v>
      </c>
      <c r="U231" s="216">
        <f t="shared" si="211"/>
        <v>0</v>
      </c>
      <c r="V231" s="216">
        <f t="shared" si="211"/>
        <v>0</v>
      </c>
      <c r="W231" s="216">
        <f t="shared" si="211"/>
        <v>0</v>
      </c>
      <c r="X231" s="216">
        <f t="shared" si="211"/>
        <v>0</v>
      </c>
      <c r="Y231" s="216">
        <f t="shared" si="211"/>
        <v>0</v>
      </c>
    </row>
    <row r="232" spans="5:25" x14ac:dyDescent="0.25">
      <c r="F232" s="224" t="s">
        <v>194</v>
      </c>
      <c r="G232" s="89" t="s">
        <v>283</v>
      </c>
      <c r="J232" s="216">
        <f t="shared" ref="J232:Y232" si="212">J192 * J224 * hours_in_year</f>
        <v>8.4293039407328347</v>
      </c>
      <c r="K232" s="216">
        <f t="shared" si="212"/>
        <v>8.4293039407328347</v>
      </c>
      <c r="L232" s="216">
        <f t="shared" si="212"/>
        <v>8.4293039407328347</v>
      </c>
      <c r="M232" s="216">
        <f t="shared" si="212"/>
        <v>8.4293039407328347</v>
      </c>
      <c r="N232" s="216">
        <f t="shared" si="212"/>
        <v>8.4293039407328347</v>
      </c>
      <c r="O232" s="216">
        <f t="shared" si="212"/>
        <v>8.4293039407328347</v>
      </c>
      <c r="P232" s="216">
        <f t="shared" si="212"/>
        <v>8.4293039407328347</v>
      </c>
      <c r="Q232" s="216">
        <f t="shared" si="212"/>
        <v>24.0287784484462</v>
      </c>
      <c r="R232" s="216">
        <f t="shared" si="212"/>
        <v>8.4293039407328347</v>
      </c>
      <c r="S232" s="216">
        <f t="shared" si="212"/>
        <v>8.4293039407328347</v>
      </c>
      <c r="T232" s="216">
        <f t="shared" si="212"/>
        <v>8.4293039407328347</v>
      </c>
      <c r="U232" s="216">
        <f t="shared" si="212"/>
        <v>8.4293039407328347</v>
      </c>
      <c r="V232" s="216">
        <f t="shared" si="212"/>
        <v>8.4293039407328347</v>
      </c>
      <c r="W232" s="216">
        <f t="shared" si="212"/>
        <v>8.4293039407328347</v>
      </c>
      <c r="X232" s="216">
        <f t="shared" si="212"/>
        <v>8.4293039407328347</v>
      </c>
      <c r="Y232" s="216">
        <f t="shared" si="212"/>
        <v>8.4293039407328347</v>
      </c>
    </row>
    <row r="233" spans="5:25" x14ac:dyDescent="0.25">
      <c r="F233" s="224" t="s">
        <v>195</v>
      </c>
      <c r="G233" s="89" t="s">
        <v>283</v>
      </c>
      <c r="J233" s="216">
        <f t="shared" ref="J233:Y233" si="213">J197 * J224 * hours_in_year</f>
        <v>6.7631788652385794</v>
      </c>
      <c r="K233" s="216">
        <f t="shared" si="213"/>
        <v>6.7631788652385794</v>
      </c>
      <c r="L233" s="216">
        <f t="shared" si="213"/>
        <v>6.7631788652385794</v>
      </c>
      <c r="M233" s="216">
        <f t="shared" si="213"/>
        <v>6.7631788652385794</v>
      </c>
      <c r="N233" s="216">
        <f t="shared" si="213"/>
        <v>6.7631788652385794</v>
      </c>
      <c r="O233" s="216">
        <f t="shared" si="213"/>
        <v>6.7631788652385794</v>
      </c>
      <c r="P233" s="216">
        <f t="shared" si="213"/>
        <v>6.7631788652385794</v>
      </c>
      <c r="Q233" s="216">
        <f t="shared" si="213"/>
        <v>19.95313615988092</v>
      </c>
      <c r="R233" s="216">
        <f t="shared" si="213"/>
        <v>6.7631788652385794</v>
      </c>
      <c r="S233" s="216">
        <f t="shared" si="213"/>
        <v>6.7631788652385794</v>
      </c>
      <c r="T233" s="216">
        <f t="shared" si="213"/>
        <v>6.7631788652385794</v>
      </c>
      <c r="U233" s="216">
        <f t="shared" si="213"/>
        <v>6.7631788652385794</v>
      </c>
      <c r="V233" s="216">
        <f t="shared" si="213"/>
        <v>6.7631788652385794</v>
      </c>
      <c r="W233" s="216">
        <f t="shared" si="213"/>
        <v>6.7631788652385794</v>
      </c>
      <c r="X233" s="216">
        <f t="shared" si="213"/>
        <v>6.7631788652385794</v>
      </c>
      <c r="Y233" s="216">
        <f t="shared" si="213"/>
        <v>6.7631788652385794</v>
      </c>
    </row>
    <row r="234" spans="5:25" x14ac:dyDescent="0.25">
      <c r="F234" s="224" t="s">
        <v>196</v>
      </c>
      <c r="G234" s="89" t="s">
        <v>283</v>
      </c>
      <c r="J234" s="216">
        <f t="shared" ref="J234:Y234" si="214">J202 * J224 * hours_in_year</f>
        <v>0</v>
      </c>
      <c r="K234" s="216">
        <f t="shared" si="214"/>
        <v>0</v>
      </c>
      <c r="L234" s="216">
        <f t="shared" si="214"/>
        <v>0</v>
      </c>
      <c r="M234" s="216">
        <f t="shared" si="214"/>
        <v>0</v>
      </c>
      <c r="N234" s="216">
        <f t="shared" si="214"/>
        <v>0</v>
      </c>
      <c r="O234" s="216">
        <f t="shared" si="214"/>
        <v>0</v>
      </c>
      <c r="P234" s="216">
        <f t="shared" si="214"/>
        <v>0</v>
      </c>
      <c r="Q234" s="216">
        <f t="shared" si="214"/>
        <v>0</v>
      </c>
      <c r="R234" s="216">
        <f t="shared" si="214"/>
        <v>0</v>
      </c>
      <c r="S234" s="216">
        <f t="shared" si="214"/>
        <v>0</v>
      </c>
      <c r="T234" s="216">
        <f t="shared" si="214"/>
        <v>0</v>
      </c>
      <c r="U234" s="216">
        <f t="shared" si="214"/>
        <v>0</v>
      </c>
      <c r="V234" s="216">
        <f t="shared" si="214"/>
        <v>0</v>
      </c>
      <c r="W234" s="216">
        <f t="shared" si="214"/>
        <v>0</v>
      </c>
      <c r="X234" s="216">
        <f t="shared" si="214"/>
        <v>0</v>
      </c>
      <c r="Y234" s="216">
        <f t="shared" si="214"/>
        <v>0</v>
      </c>
    </row>
    <row r="235" spans="5:25" x14ac:dyDescent="0.25">
      <c r="F235" s="224" t="s">
        <v>197</v>
      </c>
      <c r="G235" s="89" t="s">
        <v>283</v>
      </c>
      <c r="J235" s="216">
        <f t="shared" ref="J235:Y235" si="215">J207 * J224 * hours_in_year</f>
        <v>6.7631788652385794</v>
      </c>
      <c r="K235" s="216">
        <f t="shared" si="215"/>
        <v>6.7631788652385794</v>
      </c>
      <c r="L235" s="216">
        <f t="shared" si="215"/>
        <v>6.7631788652385794</v>
      </c>
      <c r="M235" s="216">
        <f t="shared" si="215"/>
        <v>6.7631788652385794</v>
      </c>
      <c r="N235" s="216">
        <f t="shared" si="215"/>
        <v>6.7631788652385794</v>
      </c>
      <c r="O235" s="216">
        <f t="shared" si="215"/>
        <v>6.7631788652385794</v>
      </c>
      <c r="P235" s="216">
        <f t="shared" si="215"/>
        <v>6.7631788652385794</v>
      </c>
      <c r="Q235" s="216">
        <f t="shared" si="215"/>
        <v>19.95313615988092</v>
      </c>
      <c r="R235" s="216">
        <f t="shared" si="215"/>
        <v>6.7631788652385794</v>
      </c>
      <c r="S235" s="216">
        <f t="shared" si="215"/>
        <v>6.7631788652385794</v>
      </c>
      <c r="T235" s="216">
        <f t="shared" si="215"/>
        <v>6.7631788652385794</v>
      </c>
      <c r="U235" s="216">
        <f t="shared" si="215"/>
        <v>6.7631788652385794</v>
      </c>
      <c r="V235" s="216">
        <f t="shared" si="215"/>
        <v>6.7631788652385794</v>
      </c>
      <c r="W235" s="216">
        <f t="shared" si="215"/>
        <v>6.7631788652385794</v>
      </c>
      <c r="X235" s="216">
        <f t="shared" si="215"/>
        <v>6.7631788652385794</v>
      </c>
      <c r="Y235" s="216">
        <f t="shared" si="215"/>
        <v>6.7631788652385794</v>
      </c>
    </row>
    <row r="236" spans="5:25" x14ac:dyDescent="0.25">
      <c r="F236" s="224" t="s">
        <v>198</v>
      </c>
      <c r="G236" s="89" t="s">
        <v>283</v>
      </c>
      <c r="J236" s="216">
        <f t="shared" ref="J236:Y236" si="216">J212 * J224 * hours_in_year</f>
        <v>6.7631788652385794</v>
      </c>
      <c r="K236" s="216">
        <f t="shared" si="216"/>
        <v>6.7631788652385794</v>
      </c>
      <c r="L236" s="216">
        <f t="shared" si="216"/>
        <v>6.7631788652385794</v>
      </c>
      <c r="M236" s="216">
        <f t="shared" si="216"/>
        <v>6.7631788652385794</v>
      </c>
      <c r="N236" s="216">
        <f t="shared" si="216"/>
        <v>6.7631788652385794</v>
      </c>
      <c r="O236" s="216">
        <f t="shared" si="216"/>
        <v>6.7631788652385794</v>
      </c>
      <c r="P236" s="216">
        <f t="shared" si="216"/>
        <v>6.7631788652385794</v>
      </c>
      <c r="Q236" s="216">
        <f t="shared" si="216"/>
        <v>19.95313615988092</v>
      </c>
      <c r="R236" s="216">
        <f t="shared" si="216"/>
        <v>6.7631788652385794</v>
      </c>
      <c r="S236" s="216">
        <f t="shared" si="216"/>
        <v>6.7631788652385794</v>
      </c>
      <c r="T236" s="216">
        <f t="shared" si="216"/>
        <v>6.7631788652385794</v>
      </c>
      <c r="U236" s="216">
        <f t="shared" si="216"/>
        <v>6.7631788652385794</v>
      </c>
      <c r="V236" s="216">
        <f t="shared" si="216"/>
        <v>6.7631788652385794</v>
      </c>
      <c r="W236" s="216">
        <f t="shared" si="216"/>
        <v>6.7631788652385794</v>
      </c>
      <c r="X236" s="216">
        <f t="shared" si="216"/>
        <v>6.7631788652385794</v>
      </c>
      <c r="Y236" s="216">
        <f t="shared" si="216"/>
        <v>6.7631788652385794</v>
      </c>
    </row>
    <row r="237" spans="5:25" x14ac:dyDescent="0.25">
      <c r="F237" s="225" t="s">
        <v>199</v>
      </c>
      <c r="G237" s="96" t="s">
        <v>283</v>
      </c>
      <c r="H237" s="91"/>
      <c r="I237" s="91"/>
      <c r="J237" s="216">
        <f t="shared" ref="J237:Y237" si="217">J217 * J224 * hours_in_year</f>
        <v>6.7631788652385794</v>
      </c>
      <c r="K237" s="216">
        <f t="shared" si="217"/>
        <v>6.7631788652385794</v>
      </c>
      <c r="L237" s="216">
        <f t="shared" si="217"/>
        <v>6.7631788652385794</v>
      </c>
      <c r="M237" s="216">
        <f t="shared" si="217"/>
        <v>6.7631788652385794</v>
      </c>
      <c r="N237" s="216">
        <f t="shared" si="217"/>
        <v>6.7631788652385794</v>
      </c>
      <c r="O237" s="216">
        <f t="shared" si="217"/>
        <v>6.7631788652385794</v>
      </c>
      <c r="P237" s="216">
        <f t="shared" si="217"/>
        <v>6.7631788652385794</v>
      </c>
      <c r="Q237" s="216">
        <f t="shared" si="217"/>
        <v>19.95313615988092</v>
      </c>
      <c r="R237" s="216">
        <f t="shared" si="217"/>
        <v>6.7631788652385794</v>
      </c>
      <c r="S237" s="216">
        <f t="shared" si="217"/>
        <v>6.7631788652385794</v>
      </c>
      <c r="T237" s="216">
        <f t="shared" si="217"/>
        <v>6.7631788652385794</v>
      </c>
      <c r="U237" s="216">
        <f t="shared" si="217"/>
        <v>6.7631788652385794</v>
      </c>
      <c r="V237" s="216">
        <f t="shared" si="217"/>
        <v>6.7631788652385794</v>
      </c>
      <c r="W237" s="216">
        <f t="shared" si="217"/>
        <v>6.7631788652385794</v>
      </c>
      <c r="X237" s="216">
        <f t="shared" si="217"/>
        <v>6.7631788652385794</v>
      </c>
      <c r="Y237" s="216">
        <f t="shared" si="217"/>
        <v>6.7631788652385794</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157</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191</v>
      </c>
      <c r="G240" s="93" t="s">
        <v>283</v>
      </c>
      <c r="H240" s="90"/>
      <c r="I240" s="90"/>
      <c r="J240" s="216">
        <f t="shared" ref="J240:Y240" si="218">J178 * J225 * hours_in_year</f>
        <v>0.61345481759523901</v>
      </c>
      <c r="K240" s="216">
        <f t="shared" si="218"/>
        <v>0.61345481759523901</v>
      </c>
      <c r="L240" s="216">
        <f t="shared" si="218"/>
        <v>0.61345481759523901</v>
      </c>
      <c r="M240" s="216">
        <f t="shared" si="218"/>
        <v>0.61345481759523901</v>
      </c>
      <c r="N240" s="216">
        <f t="shared" si="218"/>
        <v>0.61345481759523901</v>
      </c>
      <c r="O240" s="216">
        <f t="shared" si="218"/>
        <v>0.61345481759523901</v>
      </c>
      <c r="P240" s="216">
        <f t="shared" si="218"/>
        <v>0.61345481759523901</v>
      </c>
      <c r="Q240" s="216">
        <f t="shared" si="218"/>
        <v>0.65119460660797301</v>
      </c>
      <c r="R240" s="216">
        <f t="shared" si="218"/>
        <v>0.61345481759523901</v>
      </c>
      <c r="S240" s="216">
        <f t="shared" si="218"/>
        <v>0.61345481759523901</v>
      </c>
      <c r="T240" s="216">
        <f t="shared" si="218"/>
        <v>0.61345481759523901</v>
      </c>
      <c r="U240" s="216">
        <f t="shared" si="218"/>
        <v>0.61345481759523901</v>
      </c>
      <c r="V240" s="216">
        <f t="shared" si="218"/>
        <v>0.61345481759523901</v>
      </c>
      <c r="W240" s="216">
        <f t="shared" si="218"/>
        <v>0.61345481759523901</v>
      </c>
      <c r="X240" s="216">
        <f t="shared" si="218"/>
        <v>0.61345481759523901</v>
      </c>
      <c r="Y240" s="216">
        <f t="shared" si="218"/>
        <v>0.61345481759523901</v>
      </c>
    </row>
    <row r="241" spans="5:25" x14ac:dyDescent="0.25">
      <c r="F241" s="89" t="s">
        <v>192</v>
      </c>
      <c r="G241" s="89" t="s">
        <v>283</v>
      </c>
      <c r="J241" s="216">
        <f t="shared" ref="J241:Y241" si="219">J183 * J225 * hours_in_year</f>
        <v>0</v>
      </c>
      <c r="K241" s="216">
        <f t="shared" si="219"/>
        <v>0</v>
      </c>
      <c r="L241" s="216">
        <f t="shared" si="219"/>
        <v>0</v>
      </c>
      <c r="M241" s="216">
        <f t="shared" si="219"/>
        <v>0</v>
      </c>
      <c r="N241" s="216">
        <f t="shared" si="219"/>
        <v>0</v>
      </c>
      <c r="O241" s="216">
        <f t="shared" si="219"/>
        <v>0</v>
      </c>
      <c r="P241" s="216">
        <f t="shared" si="219"/>
        <v>0</v>
      </c>
      <c r="Q241" s="216">
        <f t="shared" si="219"/>
        <v>0</v>
      </c>
      <c r="R241" s="216">
        <f t="shared" si="219"/>
        <v>0</v>
      </c>
      <c r="S241" s="216">
        <f t="shared" si="219"/>
        <v>0</v>
      </c>
      <c r="T241" s="216">
        <f t="shared" si="219"/>
        <v>0</v>
      </c>
      <c r="U241" s="216">
        <f t="shared" si="219"/>
        <v>0</v>
      </c>
      <c r="V241" s="216">
        <f t="shared" si="219"/>
        <v>0</v>
      </c>
      <c r="W241" s="216">
        <f t="shared" si="219"/>
        <v>0</v>
      </c>
      <c r="X241" s="216">
        <f t="shared" si="219"/>
        <v>0</v>
      </c>
      <c r="Y241" s="216">
        <f t="shared" si="219"/>
        <v>0</v>
      </c>
    </row>
    <row r="242" spans="5:25" x14ac:dyDescent="0.25">
      <c r="F242" s="89" t="s">
        <v>193</v>
      </c>
      <c r="G242" s="89" t="s">
        <v>283</v>
      </c>
      <c r="J242" s="216">
        <f t="shared" ref="J242:Y242" si="220">J188 * J225 * hours_in_year</f>
        <v>0</v>
      </c>
      <c r="K242" s="216">
        <f t="shared" si="220"/>
        <v>0</v>
      </c>
      <c r="L242" s="216">
        <f t="shared" si="220"/>
        <v>0</v>
      </c>
      <c r="M242" s="216">
        <f t="shared" si="220"/>
        <v>0</v>
      </c>
      <c r="N242" s="216">
        <f t="shared" si="220"/>
        <v>0</v>
      </c>
      <c r="O242" s="216">
        <f t="shared" si="220"/>
        <v>0</v>
      </c>
      <c r="P242" s="216">
        <f t="shared" si="220"/>
        <v>0</v>
      </c>
      <c r="Q242" s="216">
        <f t="shared" si="220"/>
        <v>0</v>
      </c>
      <c r="R242" s="216">
        <f t="shared" si="220"/>
        <v>0</v>
      </c>
      <c r="S242" s="216">
        <f t="shared" si="220"/>
        <v>0</v>
      </c>
      <c r="T242" s="216">
        <f t="shared" si="220"/>
        <v>0</v>
      </c>
      <c r="U242" s="216">
        <f t="shared" si="220"/>
        <v>0</v>
      </c>
      <c r="V242" s="216">
        <f t="shared" si="220"/>
        <v>0</v>
      </c>
      <c r="W242" s="216">
        <f t="shared" si="220"/>
        <v>0</v>
      </c>
      <c r="X242" s="216">
        <f t="shared" si="220"/>
        <v>0</v>
      </c>
      <c r="Y242" s="216">
        <f t="shared" si="220"/>
        <v>0</v>
      </c>
    </row>
    <row r="243" spans="5:25" x14ac:dyDescent="0.25">
      <c r="F243" s="89" t="s">
        <v>194</v>
      </c>
      <c r="G243" s="89" t="s">
        <v>283</v>
      </c>
      <c r="J243" s="216">
        <f t="shared" ref="J243:Y243" si="221">J193 * J225 * hours_in_year</f>
        <v>0.61345481759523901</v>
      </c>
      <c r="K243" s="216">
        <f t="shared" si="221"/>
        <v>0.61345481759523901</v>
      </c>
      <c r="L243" s="216">
        <f t="shared" si="221"/>
        <v>0.61345481759523901</v>
      </c>
      <c r="M243" s="216">
        <f t="shared" si="221"/>
        <v>0.61345481759523901</v>
      </c>
      <c r="N243" s="216">
        <f t="shared" si="221"/>
        <v>0.61345481759523901</v>
      </c>
      <c r="O243" s="216">
        <f t="shared" si="221"/>
        <v>0.61345481759523901</v>
      </c>
      <c r="P243" s="216">
        <f t="shared" si="221"/>
        <v>0.61345481759523901</v>
      </c>
      <c r="Q243" s="216">
        <f t="shared" si="221"/>
        <v>0.65119460660797301</v>
      </c>
      <c r="R243" s="216">
        <f t="shared" si="221"/>
        <v>0.61345481759523901</v>
      </c>
      <c r="S243" s="216">
        <f t="shared" si="221"/>
        <v>0.61345481759523901</v>
      </c>
      <c r="T243" s="216">
        <f t="shared" si="221"/>
        <v>0.61345481759523901</v>
      </c>
      <c r="U243" s="216">
        <f t="shared" si="221"/>
        <v>0.61345481759523901</v>
      </c>
      <c r="V243" s="216">
        <f t="shared" si="221"/>
        <v>0.61345481759523901</v>
      </c>
      <c r="W243" s="216">
        <f t="shared" si="221"/>
        <v>0.61345481759523901</v>
      </c>
      <c r="X243" s="216">
        <f t="shared" si="221"/>
        <v>0.61345481759523901</v>
      </c>
      <c r="Y243" s="216">
        <f t="shared" si="221"/>
        <v>0.61345481759523901</v>
      </c>
    </row>
    <row r="244" spans="5:25" x14ac:dyDescent="0.25">
      <c r="F244" s="89" t="s">
        <v>195</v>
      </c>
      <c r="G244" s="89" t="s">
        <v>283</v>
      </c>
      <c r="J244" s="216">
        <f t="shared" ref="J244:Y244" si="222">J198 * J225 * hours_in_year</f>
        <v>0.98880093970108363</v>
      </c>
      <c r="K244" s="216">
        <f t="shared" si="222"/>
        <v>0.98880093970108363</v>
      </c>
      <c r="L244" s="216">
        <f t="shared" si="222"/>
        <v>0.98880093970108363</v>
      </c>
      <c r="M244" s="216">
        <f t="shared" si="222"/>
        <v>0.98880093970108363</v>
      </c>
      <c r="N244" s="216">
        <f t="shared" si="222"/>
        <v>0.98880093970108363</v>
      </c>
      <c r="O244" s="216">
        <f t="shared" si="222"/>
        <v>0.98880093970108363</v>
      </c>
      <c r="P244" s="216">
        <f t="shared" si="222"/>
        <v>0.98880093970108363</v>
      </c>
      <c r="Q244" s="216">
        <f t="shared" si="222"/>
        <v>0.90907275177813351</v>
      </c>
      <c r="R244" s="216">
        <f t="shared" si="222"/>
        <v>0.98880093970108363</v>
      </c>
      <c r="S244" s="216">
        <f t="shared" si="222"/>
        <v>0.98880093970108363</v>
      </c>
      <c r="T244" s="216">
        <f t="shared" si="222"/>
        <v>0.98880093970108363</v>
      </c>
      <c r="U244" s="216">
        <f t="shared" si="222"/>
        <v>0.98880093970108363</v>
      </c>
      <c r="V244" s="216">
        <f t="shared" si="222"/>
        <v>0.98880093970108363</v>
      </c>
      <c r="W244" s="216">
        <f t="shared" si="222"/>
        <v>0.98880093970108363</v>
      </c>
      <c r="X244" s="216">
        <f t="shared" si="222"/>
        <v>0.98880093970108363</v>
      </c>
      <c r="Y244" s="216">
        <f t="shared" si="222"/>
        <v>0.98880093970108363</v>
      </c>
    </row>
    <row r="245" spans="5:25" x14ac:dyDescent="0.25">
      <c r="F245" s="89" t="s">
        <v>196</v>
      </c>
      <c r="G245" s="89" t="s">
        <v>283</v>
      </c>
      <c r="J245" s="216">
        <f t="shared" ref="J245:Y245" si="223">J203 * J225 * hours_in_year</f>
        <v>0</v>
      </c>
      <c r="K245" s="216">
        <f t="shared" si="223"/>
        <v>0</v>
      </c>
      <c r="L245" s="216">
        <f t="shared" si="223"/>
        <v>0</v>
      </c>
      <c r="M245" s="216">
        <f t="shared" si="223"/>
        <v>0</v>
      </c>
      <c r="N245" s="216">
        <f t="shared" si="223"/>
        <v>0</v>
      </c>
      <c r="O245" s="216">
        <f t="shared" si="223"/>
        <v>0</v>
      </c>
      <c r="P245" s="216">
        <f t="shared" si="223"/>
        <v>0</v>
      </c>
      <c r="Q245" s="216">
        <f t="shared" si="223"/>
        <v>0</v>
      </c>
      <c r="R245" s="216">
        <f t="shared" si="223"/>
        <v>0</v>
      </c>
      <c r="S245" s="216">
        <f t="shared" si="223"/>
        <v>0</v>
      </c>
      <c r="T245" s="216">
        <f t="shared" si="223"/>
        <v>0</v>
      </c>
      <c r="U245" s="216">
        <f t="shared" si="223"/>
        <v>0</v>
      </c>
      <c r="V245" s="216">
        <f t="shared" si="223"/>
        <v>0</v>
      </c>
      <c r="W245" s="216">
        <f t="shared" si="223"/>
        <v>0</v>
      </c>
      <c r="X245" s="216">
        <f t="shared" si="223"/>
        <v>0</v>
      </c>
      <c r="Y245" s="216">
        <f t="shared" si="223"/>
        <v>0</v>
      </c>
    </row>
    <row r="246" spans="5:25" x14ac:dyDescent="0.25">
      <c r="F246" s="89" t="s">
        <v>197</v>
      </c>
      <c r="G246" s="89" t="s">
        <v>283</v>
      </c>
      <c r="J246" s="216">
        <f t="shared" ref="J246:Y246" si="224">J208 * J225 * hours_in_year</f>
        <v>0.98880093970108363</v>
      </c>
      <c r="K246" s="216">
        <f t="shared" si="224"/>
        <v>0.98880093970108363</v>
      </c>
      <c r="L246" s="216">
        <f t="shared" si="224"/>
        <v>0.98880093970108363</v>
      </c>
      <c r="M246" s="216">
        <f t="shared" si="224"/>
        <v>0.98880093970108363</v>
      </c>
      <c r="N246" s="216">
        <f t="shared" si="224"/>
        <v>0.98880093970108363</v>
      </c>
      <c r="O246" s="216">
        <f t="shared" si="224"/>
        <v>0.98880093970108363</v>
      </c>
      <c r="P246" s="216">
        <f t="shared" si="224"/>
        <v>0.98880093970108363</v>
      </c>
      <c r="Q246" s="216">
        <f t="shared" si="224"/>
        <v>0.90907275177813351</v>
      </c>
      <c r="R246" s="216">
        <f t="shared" si="224"/>
        <v>0.98880093970108363</v>
      </c>
      <c r="S246" s="216">
        <f t="shared" si="224"/>
        <v>0.98880093970108363</v>
      </c>
      <c r="T246" s="216">
        <f t="shared" si="224"/>
        <v>0.98880093970108363</v>
      </c>
      <c r="U246" s="216">
        <f t="shared" si="224"/>
        <v>0.98880093970108363</v>
      </c>
      <c r="V246" s="216">
        <f t="shared" si="224"/>
        <v>0.98880093970108363</v>
      </c>
      <c r="W246" s="216">
        <f t="shared" si="224"/>
        <v>0.98880093970108363</v>
      </c>
      <c r="X246" s="216">
        <f t="shared" si="224"/>
        <v>0.98880093970108363</v>
      </c>
      <c r="Y246" s="216">
        <f t="shared" si="224"/>
        <v>0.98880093970108363</v>
      </c>
    </row>
    <row r="247" spans="5:25" x14ac:dyDescent="0.25">
      <c r="F247" s="89" t="s">
        <v>198</v>
      </c>
      <c r="G247" s="89" t="s">
        <v>283</v>
      </c>
      <c r="J247" s="216">
        <f t="shared" ref="J247:Y247" si="225">J213 * J225 * hours_in_year</f>
        <v>0.98880093970108363</v>
      </c>
      <c r="K247" s="216">
        <f t="shared" si="225"/>
        <v>0.98880093970108363</v>
      </c>
      <c r="L247" s="216">
        <f t="shared" si="225"/>
        <v>0.98880093970108363</v>
      </c>
      <c r="M247" s="216">
        <f t="shared" si="225"/>
        <v>0.98880093970108363</v>
      </c>
      <c r="N247" s="216">
        <f t="shared" si="225"/>
        <v>0.98880093970108363</v>
      </c>
      <c r="O247" s="216">
        <f t="shared" si="225"/>
        <v>0.98880093970108363</v>
      </c>
      <c r="P247" s="216">
        <f t="shared" si="225"/>
        <v>0.98880093970108363</v>
      </c>
      <c r="Q247" s="216">
        <f t="shared" si="225"/>
        <v>0.90907275177813351</v>
      </c>
      <c r="R247" s="216">
        <f t="shared" si="225"/>
        <v>0.98880093970108363</v>
      </c>
      <c r="S247" s="216">
        <f t="shared" si="225"/>
        <v>0.98880093970108363</v>
      </c>
      <c r="T247" s="216">
        <f t="shared" si="225"/>
        <v>0.98880093970108363</v>
      </c>
      <c r="U247" s="216">
        <f t="shared" si="225"/>
        <v>0.98880093970108363</v>
      </c>
      <c r="V247" s="216">
        <f t="shared" si="225"/>
        <v>0.98880093970108363</v>
      </c>
      <c r="W247" s="216">
        <f t="shared" si="225"/>
        <v>0.98880093970108363</v>
      </c>
      <c r="X247" s="216">
        <f t="shared" si="225"/>
        <v>0.98880093970108363</v>
      </c>
      <c r="Y247" s="216">
        <f t="shared" si="225"/>
        <v>0.98880093970108363</v>
      </c>
    </row>
    <row r="248" spans="5:25" x14ac:dyDescent="0.25">
      <c r="F248" s="96" t="s">
        <v>199</v>
      </c>
      <c r="G248" s="96" t="s">
        <v>283</v>
      </c>
      <c r="H248" s="91"/>
      <c r="I248" s="91"/>
      <c r="J248" s="216">
        <f t="shared" ref="J248:Y248" si="226">J218 * J225 * hours_in_year</f>
        <v>0.98880093970108363</v>
      </c>
      <c r="K248" s="216">
        <f t="shared" si="226"/>
        <v>0.98880093970108363</v>
      </c>
      <c r="L248" s="216">
        <f t="shared" si="226"/>
        <v>0.98880093970108363</v>
      </c>
      <c r="M248" s="216">
        <f t="shared" si="226"/>
        <v>0.98880093970108363</v>
      </c>
      <c r="N248" s="216">
        <f t="shared" si="226"/>
        <v>0.98880093970108363</v>
      </c>
      <c r="O248" s="216">
        <f t="shared" si="226"/>
        <v>0.98880093970108363</v>
      </c>
      <c r="P248" s="216">
        <f t="shared" si="226"/>
        <v>0.98880093970108363</v>
      </c>
      <c r="Q248" s="216">
        <f t="shared" si="226"/>
        <v>0.90907275177813351</v>
      </c>
      <c r="R248" s="216">
        <f t="shared" si="226"/>
        <v>0.98880093970108363</v>
      </c>
      <c r="S248" s="216">
        <f t="shared" si="226"/>
        <v>0.98880093970108363</v>
      </c>
      <c r="T248" s="216">
        <f t="shared" si="226"/>
        <v>0.98880093970108363</v>
      </c>
      <c r="U248" s="216">
        <f t="shared" si="226"/>
        <v>0.98880093970108363</v>
      </c>
      <c r="V248" s="216">
        <f t="shared" si="226"/>
        <v>0.98880093970108363</v>
      </c>
      <c r="W248" s="216">
        <f t="shared" si="226"/>
        <v>0.98880093970108363</v>
      </c>
      <c r="X248" s="216">
        <f t="shared" si="226"/>
        <v>0.98880093970108363</v>
      </c>
      <c r="Y248" s="216">
        <f t="shared" si="226"/>
        <v>0.98880093970108363</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158</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191</v>
      </c>
      <c r="G251" s="93" t="s">
        <v>283</v>
      </c>
      <c r="H251" s="90"/>
      <c r="I251" s="90"/>
      <c r="J251" s="216">
        <f t="shared" ref="J251:Y251" si="227">J179 * J226 * hours_in_year</f>
        <v>1.3899690305631009E-2</v>
      </c>
      <c r="K251" s="216">
        <f t="shared" si="227"/>
        <v>1.3899690305631009E-2</v>
      </c>
      <c r="L251" s="216">
        <f t="shared" si="227"/>
        <v>1.3899690305631009E-2</v>
      </c>
      <c r="M251" s="216">
        <f t="shared" si="227"/>
        <v>1.3899690305631009E-2</v>
      </c>
      <c r="N251" s="216">
        <f t="shared" si="227"/>
        <v>1.3899690305631009E-2</v>
      </c>
      <c r="O251" s="216">
        <f t="shared" si="227"/>
        <v>1.3899690305631009E-2</v>
      </c>
      <c r="P251" s="216">
        <f t="shared" si="227"/>
        <v>1.3899690305631009E-2</v>
      </c>
      <c r="Q251" s="216">
        <f t="shared" si="227"/>
        <v>1.3899690305631009E-2</v>
      </c>
      <c r="R251" s="216">
        <f t="shared" si="227"/>
        <v>1.3899690305631009E-2</v>
      </c>
      <c r="S251" s="216">
        <f t="shared" si="227"/>
        <v>1.3899690305631009E-2</v>
      </c>
      <c r="T251" s="216">
        <f t="shared" si="227"/>
        <v>1.3899690305631009E-2</v>
      </c>
      <c r="U251" s="216">
        <f t="shared" si="227"/>
        <v>1.3899690305631009E-2</v>
      </c>
      <c r="V251" s="216">
        <f t="shared" si="227"/>
        <v>1.3899690305631009E-2</v>
      </c>
      <c r="W251" s="216">
        <f t="shared" si="227"/>
        <v>1.3899690305631009E-2</v>
      </c>
      <c r="X251" s="216">
        <f t="shared" si="227"/>
        <v>1.3899690305631009E-2</v>
      </c>
      <c r="Y251" s="216">
        <f t="shared" si="227"/>
        <v>1.3899690305631009E-2</v>
      </c>
    </row>
    <row r="252" spans="5:25" x14ac:dyDescent="0.25">
      <c r="F252" s="89" t="s">
        <v>192</v>
      </c>
      <c r="G252" s="89" t="s">
        <v>283</v>
      </c>
      <c r="J252" s="216">
        <f t="shared" ref="J252:Y252" si="228">J184 * J226 * hours_in_year</f>
        <v>0</v>
      </c>
      <c r="K252" s="216">
        <f t="shared" si="228"/>
        <v>0</v>
      </c>
      <c r="L252" s="216">
        <f t="shared" si="228"/>
        <v>0</v>
      </c>
      <c r="M252" s="216">
        <f t="shared" si="228"/>
        <v>0</v>
      </c>
      <c r="N252" s="216">
        <f t="shared" si="228"/>
        <v>0</v>
      </c>
      <c r="O252" s="216">
        <f t="shared" si="228"/>
        <v>0</v>
      </c>
      <c r="P252" s="216">
        <f t="shared" si="228"/>
        <v>0</v>
      </c>
      <c r="Q252" s="216">
        <f t="shared" si="228"/>
        <v>0</v>
      </c>
      <c r="R252" s="216">
        <f t="shared" si="228"/>
        <v>0</v>
      </c>
      <c r="S252" s="216">
        <f t="shared" si="228"/>
        <v>0</v>
      </c>
      <c r="T252" s="216">
        <f t="shared" si="228"/>
        <v>0</v>
      </c>
      <c r="U252" s="216">
        <f t="shared" si="228"/>
        <v>0</v>
      </c>
      <c r="V252" s="216">
        <f t="shared" si="228"/>
        <v>0</v>
      </c>
      <c r="W252" s="216">
        <f t="shared" si="228"/>
        <v>0</v>
      </c>
      <c r="X252" s="216">
        <f t="shared" si="228"/>
        <v>0</v>
      </c>
      <c r="Y252" s="216">
        <f t="shared" si="228"/>
        <v>0</v>
      </c>
    </row>
    <row r="253" spans="5:25" x14ac:dyDescent="0.25">
      <c r="F253" s="89" t="s">
        <v>193</v>
      </c>
      <c r="G253" s="89" t="s">
        <v>283</v>
      </c>
      <c r="J253" s="216">
        <f t="shared" ref="J253:Y253" si="229">J189 * J226 * hours_in_year</f>
        <v>0</v>
      </c>
      <c r="K253" s="216">
        <f t="shared" si="229"/>
        <v>0</v>
      </c>
      <c r="L253" s="216">
        <f t="shared" si="229"/>
        <v>0</v>
      </c>
      <c r="M253" s="216">
        <f t="shared" si="229"/>
        <v>0</v>
      </c>
      <c r="N253" s="216">
        <f t="shared" si="229"/>
        <v>0</v>
      </c>
      <c r="O253" s="216">
        <f t="shared" si="229"/>
        <v>0</v>
      </c>
      <c r="P253" s="216">
        <f t="shared" si="229"/>
        <v>0</v>
      </c>
      <c r="Q253" s="216">
        <f t="shared" si="229"/>
        <v>0</v>
      </c>
      <c r="R253" s="216">
        <f t="shared" si="229"/>
        <v>0</v>
      </c>
      <c r="S253" s="216">
        <f t="shared" si="229"/>
        <v>0</v>
      </c>
      <c r="T253" s="216">
        <f t="shared" si="229"/>
        <v>0</v>
      </c>
      <c r="U253" s="216">
        <f t="shared" si="229"/>
        <v>0</v>
      </c>
      <c r="V253" s="216">
        <f t="shared" si="229"/>
        <v>0</v>
      </c>
      <c r="W253" s="216">
        <f t="shared" si="229"/>
        <v>0</v>
      </c>
      <c r="X253" s="216">
        <f t="shared" si="229"/>
        <v>0</v>
      </c>
      <c r="Y253" s="216">
        <f t="shared" si="229"/>
        <v>0</v>
      </c>
    </row>
    <row r="254" spans="5:25" x14ac:dyDescent="0.25">
      <c r="F254" s="89" t="s">
        <v>194</v>
      </c>
      <c r="G254" s="89" t="s">
        <v>283</v>
      </c>
      <c r="J254" s="216">
        <f t="shared" ref="J254:Y254" si="230">J194 * J226 * hours_in_year</f>
        <v>1.3899690305631009E-2</v>
      </c>
      <c r="K254" s="216">
        <f t="shared" si="230"/>
        <v>1.3899690305631009E-2</v>
      </c>
      <c r="L254" s="216">
        <f t="shared" si="230"/>
        <v>1.3899690305631009E-2</v>
      </c>
      <c r="M254" s="216">
        <f t="shared" si="230"/>
        <v>1.3899690305631009E-2</v>
      </c>
      <c r="N254" s="216">
        <f t="shared" si="230"/>
        <v>1.3899690305631009E-2</v>
      </c>
      <c r="O254" s="216">
        <f t="shared" si="230"/>
        <v>1.3899690305631009E-2</v>
      </c>
      <c r="P254" s="216">
        <f t="shared" si="230"/>
        <v>1.3899690305631009E-2</v>
      </c>
      <c r="Q254" s="216">
        <f t="shared" si="230"/>
        <v>1.3899690305631009E-2</v>
      </c>
      <c r="R254" s="216">
        <f t="shared" si="230"/>
        <v>1.3899690305631009E-2</v>
      </c>
      <c r="S254" s="216">
        <f t="shared" si="230"/>
        <v>1.3899690305631009E-2</v>
      </c>
      <c r="T254" s="216">
        <f t="shared" si="230"/>
        <v>1.3899690305631009E-2</v>
      </c>
      <c r="U254" s="216">
        <f t="shared" si="230"/>
        <v>1.3899690305631009E-2</v>
      </c>
      <c r="V254" s="216">
        <f t="shared" si="230"/>
        <v>1.3899690305631009E-2</v>
      </c>
      <c r="W254" s="216">
        <f t="shared" si="230"/>
        <v>1.3899690305631009E-2</v>
      </c>
      <c r="X254" s="216">
        <f t="shared" si="230"/>
        <v>1.3899690305631009E-2</v>
      </c>
      <c r="Y254" s="216">
        <f t="shared" si="230"/>
        <v>1.3899690305631009E-2</v>
      </c>
    </row>
    <row r="255" spans="5:25" x14ac:dyDescent="0.25">
      <c r="F255" s="89" t="s">
        <v>195</v>
      </c>
      <c r="G255" s="89" t="s">
        <v>283</v>
      </c>
      <c r="J255" s="216">
        <f t="shared" ref="J255:Y255" si="231">J199 * J226 * hours_in_year</f>
        <v>1.8687079085368818E-2</v>
      </c>
      <c r="K255" s="216">
        <f t="shared" si="231"/>
        <v>1.8687079085368818E-2</v>
      </c>
      <c r="L255" s="216">
        <f t="shared" si="231"/>
        <v>1.8687079085368818E-2</v>
      </c>
      <c r="M255" s="216">
        <f t="shared" si="231"/>
        <v>1.8687079085368818E-2</v>
      </c>
      <c r="N255" s="216">
        <f t="shared" si="231"/>
        <v>1.8687079085368818E-2</v>
      </c>
      <c r="O255" s="216">
        <f t="shared" si="231"/>
        <v>1.8687079085368818E-2</v>
      </c>
      <c r="P255" s="216">
        <f t="shared" si="231"/>
        <v>1.8687079085368818E-2</v>
      </c>
      <c r="Q255" s="216">
        <f t="shared" si="231"/>
        <v>1.8687079085368818E-2</v>
      </c>
      <c r="R255" s="216">
        <f t="shared" si="231"/>
        <v>1.8687079085368818E-2</v>
      </c>
      <c r="S255" s="216">
        <f t="shared" si="231"/>
        <v>1.8687079085368818E-2</v>
      </c>
      <c r="T255" s="216">
        <f t="shared" si="231"/>
        <v>1.8687079085368818E-2</v>
      </c>
      <c r="U255" s="216">
        <f t="shared" si="231"/>
        <v>1.8687079085368818E-2</v>
      </c>
      <c r="V255" s="216">
        <f t="shared" si="231"/>
        <v>1.8687079085368818E-2</v>
      </c>
      <c r="W255" s="216">
        <f t="shared" si="231"/>
        <v>1.8687079085368818E-2</v>
      </c>
      <c r="X255" s="216">
        <f t="shared" si="231"/>
        <v>1.8687079085368818E-2</v>
      </c>
      <c r="Y255" s="216">
        <f t="shared" si="231"/>
        <v>1.8687079085368818E-2</v>
      </c>
    </row>
    <row r="256" spans="5:25" x14ac:dyDescent="0.25">
      <c r="F256" s="89" t="s">
        <v>196</v>
      </c>
      <c r="G256" s="89" t="s">
        <v>283</v>
      </c>
      <c r="J256" s="216">
        <f t="shared" ref="J256:Y256" si="232">J204 * J226 * hours_in_year</f>
        <v>0</v>
      </c>
      <c r="K256" s="216">
        <f t="shared" si="232"/>
        <v>0</v>
      </c>
      <c r="L256" s="216">
        <f t="shared" si="232"/>
        <v>0</v>
      </c>
      <c r="M256" s="216">
        <f t="shared" si="232"/>
        <v>0</v>
      </c>
      <c r="N256" s="216">
        <f t="shared" si="232"/>
        <v>0</v>
      </c>
      <c r="O256" s="216">
        <f t="shared" si="232"/>
        <v>0</v>
      </c>
      <c r="P256" s="216">
        <f t="shared" si="232"/>
        <v>0</v>
      </c>
      <c r="Q256" s="216">
        <f t="shared" si="232"/>
        <v>0</v>
      </c>
      <c r="R256" s="216">
        <f t="shared" si="232"/>
        <v>0</v>
      </c>
      <c r="S256" s="216">
        <f t="shared" si="232"/>
        <v>0</v>
      </c>
      <c r="T256" s="216">
        <f t="shared" si="232"/>
        <v>0</v>
      </c>
      <c r="U256" s="216">
        <f t="shared" si="232"/>
        <v>0</v>
      </c>
      <c r="V256" s="216">
        <f t="shared" si="232"/>
        <v>0</v>
      </c>
      <c r="W256" s="216">
        <f t="shared" si="232"/>
        <v>0</v>
      </c>
      <c r="X256" s="216">
        <f t="shared" si="232"/>
        <v>0</v>
      </c>
      <c r="Y256" s="216">
        <f t="shared" si="232"/>
        <v>0</v>
      </c>
    </row>
    <row r="257" spans="2:27" x14ac:dyDescent="0.25">
      <c r="F257" s="89" t="s">
        <v>197</v>
      </c>
      <c r="G257" s="89" t="s">
        <v>283</v>
      </c>
      <c r="J257" s="216">
        <f t="shared" ref="J257:Y257" si="233">J209 * J226 * hours_in_year</f>
        <v>1.8687079085368818E-2</v>
      </c>
      <c r="K257" s="216">
        <f t="shared" si="233"/>
        <v>1.8687079085368818E-2</v>
      </c>
      <c r="L257" s="216">
        <f t="shared" si="233"/>
        <v>1.8687079085368818E-2</v>
      </c>
      <c r="M257" s="216">
        <f t="shared" si="233"/>
        <v>1.8687079085368818E-2</v>
      </c>
      <c r="N257" s="216">
        <f t="shared" si="233"/>
        <v>1.8687079085368818E-2</v>
      </c>
      <c r="O257" s="216">
        <f t="shared" si="233"/>
        <v>1.8687079085368818E-2</v>
      </c>
      <c r="P257" s="216">
        <f t="shared" si="233"/>
        <v>1.8687079085368818E-2</v>
      </c>
      <c r="Q257" s="216">
        <f t="shared" si="233"/>
        <v>1.8687079085368818E-2</v>
      </c>
      <c r="R257" s="216">
        <f t="shared" si="233"/>
        <v>1.8687079085368818E-2</v>
      </c>
      <c r="S257" s="216">
        <f t="shared" si="233"/>
        <v>1.8687079085368818E-2</v>
      </c>
      <c r="T257" s="216">
        <f t="shared" si="233"/>
        <v>1.8687079085368818E-2</v>
      </c>
      <c r="U257" s="216">
        <f t="shared" si="233"/>
        <v>1.8687079085368818E-2</v>
      </c>
      <c r="V257" s="216">
        <f t="shared" si="233"/>
        <v>1.8687079085368818E-2</v>
      </c>
      <c r="W257" s="216">
        <f t="shared" si="233"/>
        <v>1.8687079085368818E-2</v>
      </c>
      <c r="X257" s="216">
        <f t="shared" si="233"/>
        <v>1.8687079085368818E-2</v>
      </c>
      <c r="Y257" s="216">
        <f t="shared" si="233"/>
        <v>1.8687079085368818E-2</v>
      </c>
    </row>
    <row r="258" spans="2:27" x14ac:dyDescent="0.25">
      <c r="F258" s="89" t="s">
        <v>198</v>
      </c>
      <c r="G258" s="89" t="s">
        <v>283</v>
      </c>
      <c r="J258" s="216">
        <f t="shared" ref="J258:Y258" si="234">J214 * J226 * hours_in_year</f>
        <v>1.8687079085368818E-2</v>
      </c>
      <c r="K258" s="216">
        <f t="shared" si="234"/>
        <v>1.8687079085368818E-2</v>
      </c>
      <c r="L258" s="216">
        <f t="shared" si="234"/>
        <v>1.8687079085368818E-2</v>
      </c>
      <c r="M258" s="216">
        <f t="shared" si="234"/>
        <v>1.8687079085368818E-2</v>
      </c>
      <c r="N258" s="216">
        <f t="shared" si="234"/>
        <v>1.8687079085368818E-2</v>
      </c>
      <c r="O258" s="216">
        <f t="shared" si="234"/>
        <v>1.8687079085368818E-2</v>
      </c>
      <c r="P258" s="216">
        <f t="shared" si="234"/>
        <v>1.8687079085368818E-2</v>
      </c>
      <c r="Q258" s="216">
        <f t="shared" si="234"/>
        <v>1.8687079085368818E-2</v>
      </c>
      <c r="R258" s="216">
        <f t="shared" si="234"/>
        <v>1.8687079085368818E-2</v>
      </c>
      <c r="S258" s="216">
        <f t="shared" si="234"/>
        <v>1.8687079085368818E-2</v>
      </c>
      <c r="T258" s="216">
        <f t="shared" si="234"/>
        <v>1.8687079085368818E-2</v>
      </c>
      <c r="U258" s="216">
        <f t="shared" si="234"/>
        <v>1.8687079085368818E-2</v>
      </c>
      <c r="V258" s="216">
        <f t="shared" si="234"/>
        <v>1.8687079085368818E-2</v>
      </c>
      <c r="W258" s="216">
        <f t="shared" si="234"/>
        <v>1.8687079085368818E-2</v>
      </c>
      <c r="X258" s="216">
        <f t="shared" si="234"/>
        <v>1.8687079085368818E-2</v>
      </c>
      <c r="Y258" s="216">
        <f t="shared" si="234"/>
        <v>1.8687079085368818E-2</v>
      </c>
    </row>
    <row r="259" spans="2:27" x14ac:dyDescent="0.25">
      <c r="F259" s="96" t="s">
        <v>199</v>
      </c>
      <c r="G259" s="96" t="s">
        <v>283</v>
      </c>
      <c r="H259" s="91"/>
      <c r="I259" s="91"/>
      <c r="J259" s="216">
        <f t="shared" ref="J259:Y259" si="235">J219 * J226 * hours_in_year</f>
        <v>1.8687079085368818E-2</v>
      </c>
      <c r="K259" s="216">
        <f t="shared" si="235"/>
        <v>1.8687079085368818E-2</v>
      </c>
      <c r="L259" s="216">
        <f t="shared" si="235"/>
        <v>1.8687079085368818E-2</v>
      </c>
      <c r="M259" s="216">
        <f t="shared" si="235"/>
        <v>1.8687079085368818E-2</v>
      </c>
      <c r="N259" s="216">
        <f t="shared" si="235"/>
        <v>1.8687079085368818E-2</v>
      </c>
      <c r="O259" s="216">
        <f t="shared" si="235"/>
        <v>1.8687079085368818E-2</v>
      </c>
      <c r="P259" s="216">
        <f t="shared" si="235"/>
        <v>1.8687079085368818E-2</v>
      </c>
      <c r="Q259" s="216">
        <f t="shared" si="235"/>
        <v>1.8687079085368818E-2</v>
      </c>
      <c r="R259" s="216">
        <f t="shared" si="235"/>
        <v>1.8687079085368818E-2</v>
      </c>
      <c r="S259" s="216">
        <f t="shared" si="235"/>
        <v>1.8687079085368818E-2</v>
      </c>
      <c r="T259" s="216">
        <f t="shared" si="235"/>
        <v>1.8687079085368818E-2</v>
      </c>
      <c r="U259" s="216">
        <f t="shared" si="235"/>
        <v>1.8687079085368818E-2</v>
      </c>
      <c r="V259" s="216">
        <f t="shared" si="235"/>
        <v>1.8687079085368818E-2</v>
      </c>
      <c r="W259" s="216">
        <f t="shared" si="235"/>
        <v>1.8687079085368818E-2</v>
      </c>
      <c r="X259" s="216">
        <f t="shared" si="235"/>
        <v>1.8687079085368818E-2</v>
      </c>
      <c r="Y259" s="216">
        <f t="shared" si="235"/>
        <v>1.8687079085368818E-2</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840</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860</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470</v>
      </c>
      <c r="G267" s="89" t="s">
        <v>283</v>
      </c>
      <c r="J267" s="164">
        <f>J91</f>
        <v>1.8809470080667747</v>
      </c>
      <c r="K267" s="164">
        <f t="shared" ref="K267:Y267" si="236">K91</f>
        <v>1.8809470080667747</v>
      </c>
      <c r="L267" s="164">
        <f t="shared" si="236"/>
        <v>1.6313075232248377</v>
      </c>
      <c r="M267" s="164">
        <f t="shared" si="236"/>
        <v>1.6313075232248377</v>
      </c>
      <c r="N267" s="164">
        <f t="shared" si="236"/>
        <v>1.5113846153846155</v>
      </c>
      <c r="O267" s="164">
        <f t="shared" si="236"/>
        <v>1.2434825381210035</v>
      </c>
      <c r="P267" s="164">
        <f t="shared" si="236"/>
        <v>1.1759927797833936</v>
      </c>
      <c r="Q267" s="164">
        <f t="shared" si="236"/>
        <v>1.8587030716723549</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156</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191</v>
      </c>
      <c r="G272" s="93" t="s">
        <v>283</v>
      </c>
      <c r="H272" s="90"/>
      <c r="I272" s="90"/>
      <c r="J272" s="145">
        <f>J229 * J$93</f>
        <v>11.415202824166641</v>
      </c>
      <c r="K272" s="145">
        <f t="shared" ref="K272:Y272" si="237">K229 * K$93</f>
        <v>11.415202824166641</v>
      </c>
      <c r="L272" s="145">
        <f t="shared" si="237"/>
        <v>13.111499681159897</v>
      </c>
      <c r="M272" s="145">
        <f t="shared" si="237"/>
        <v>13.111499681159897</v>
      </c>
      <c r="N272" s="145">
        <f t="shared" si="237"/>
        <v>11.478969928619271</v>
      </c>
      <c r="O272" s="145">
        <f t="shared" si="237"/>
        <v>9.7207575593738476</v>
      </c>
      <c r="P272" s="145">
        <f t="shared" si="237"/>
        <v>9.5766751256420406</v>
      </c>
      <c r="Q272" s="145">
        <f t="shared" si="237"/>
        <v>26.282331373304242</v>
      </c>
      <c r="R272" s="145">
        <f t="shared" si="237"/>
        <v>8.4293039407328347</v>
      </c>
      <c r="S272" s="145">
        <f t="shared" si="237"/>
        <v>8.4293039407328347</v>
      </c>
      <c r="T272" s="145">
        <f t="shared" si="237"/>
        <v>8.4293039407328347</v>
      </c>
      <c r="U272" s="145">
        <f t="shared" si="237"/>
        <v>8.4293039407328347</v>
      </c>
      <c r="V272" s="145">
        <f t="shared" si="237"/>
        <v>8.4293039407328347</v>
      </c>
      <c r="W272" s="145">
        <f t="shared" si="237"/>
        <v>8.4293039407328347</v>
      </c>
      <c r="X272" s="145">
        <f t="shared" si="237"/>
        <v>8.4293039407328347</v>
      </c>
      <c r="Y272" s="145">
        <f t="shared" si="237"/>
        <v>8.4293039407328347</v>
      </c>
    </row>
    <row r="273" spans="5:25" x14ac:dyDescent="0.25">
      <c r="F273" s="89" t="s">
        <v>192</v>
      </c>
      <c r="G273" s="89" t="s">
        <v>283</v>
      </c>
      <c r="J273" s="164">
        <f t="shared" ref="J273:Y273" si="238">J230 * J$93</f>
        <v>0</v>
      </c>
      <c r="K273" s="164">
        <f t="shared" si="238"/>
        <v>0</v>
      </c>
      <c r="L273" s="164">
        <f t="shared" si="238"/>
        <v>0</v>
      </c>
      <c r="M273" s="164">
        <f t="shared" si="238"/>
        <v>0</v>
      </c>
      <c r="N273" s="164">
        <f t="shared" si="238"/>
        <v>0</v>
      </c>
      <c r="O273" s="164">
        <f t="shared" si="238"/>
        <v>0</v>
      </c>
      <c r="P273" s="164">
        <f t="shared" si="238"/>
        <v>0</v>
      </c>
      <c r="Q273" s="164">
        <f t="shared" si="238"/>
        <v>0</v>
      </c>
      <c r="R273" s="164">
        <f t="shared" si="238"/>
        <v>0</v>
      </c>
      <c r="S273" s="164">
        <f t="shared" si="238"/>
        <v>0</v>
      </c>
      <c r="T273" s="164">
        <f t="shared" si="238"/>
        <v>0</v>
      </c>
      <c r="U273" s="164">
        <f t="shared" si="238"/>
        <v>0</v>
      </c>
      <c r="V273" s="164">
        <f t="shared" si="238"/>
        <v>0</v>
      </c>
      <c r="W273" s="164">
        <f t="shared" si="238"/>
        <v>0</v>
      </c>
      <c r="X273" s="164">
        <f t="shared" si="238"/>
        <v>0</v>
      </c>
      <c r="Y273" s="164">
        <f t="shared" si="238"/>
        <v>0</v>
      </c>
    </row>
    <row r="274" spans="5:25" x14ac:dyDescent="0.25">
      <c r="F274" s="89" t="s">
        <v>193</v>
      </c>
      <c r="G274" s="89" t="s">
        <v>283</v>
      </c>
      <c r="J274" s="164">
        <f t="shared" ref="J274:Y274" si="239">J231 * J$93</f>
        <v>0</v>
      </c>
      <c r="K274" s="164">
        <f t="shared" si="239"/>
        <v>0</v>
      </c>
      <c r="L274" s="164">
        <f t="shared" si="239"/>
        <v>0</v>
      </c>
      <c r="M274" s="164">
        <f t="shared" si="239"/>
        <v>0</v>
      </c>
      <c r="N274" s="164">
        <f t="shared" si="239"/>
        <v>0</v>
      </c>
      <c r="O274" s="164">
        <f t="shared" si="239"/>
        <v>0</v>
      </c>
      <c r="P274" s="164">
        <f t="shared" si="239"/>
        <v>0</v>
      </c>
      <c r="Q274" s="164">
        <f t="shared" si="239"/>
        <v>0</v>
      </c>
      <c r="R274" s="164">
        <f t="shared" si="239"/>
        <v>0</v>
      </c>
      <c r="S274" s="164">
        <f t="shared" si="239"/>
        <v>0</v>
      </c>
      <c r="T274" s="164">
        <f t="shared" si="239"/>
        <v>0</v>
      </c>
      <c r="U274" s="164">
        <f t="shared" si="239"/>
        <v>0</v>
      </c>
      <c r="V274" s="164">
        <f t="shared" si="239"/>
        <v>0</v>
      </c>
      <c r="W274" s="164">
        <f t="shared" si="239"/>
        <v>0</v>
      </c>
      <c r="X274" s="164">
        <f t="shared" si="239"/>
        <v>0</v>
      </c>
      <c r="Y274" s="164">
        <f t="shared" si="239"/>
        <v>0</v>
      </c>
    </row>
    <row r="275" spans="5:25" x14ac:dyDescent="0.25">
      <c r="F275" s="89" t="s">
        <v>194</v>
      </c>
      <c r="G275" s="89" t="s">
        <v>283</v>
      </c>
      <c r="J275" s="164">
        <f t="shared" ref="J275:Y275" si="240">J232 * J$93</f>
        <v>11.415202824166641</v>
      </c>
      <c r="K275" s="164">
        <f t="shared" si="240"/>
        <v>11.415202824166641</v>
      </c>
      <c r="L275" s="164">
        <f t="shared" si="240"/>
        <v>13.111499681159897</v>
      </c>
      <c r="M275" s="164">
        <f t="shared" si="240"/>
        <v>13.111499681159897</v>
      </c>
      <c r="N275" s="164">
        <f t="shared" si="240"/>
        <v>11.478969928619271</v>
      </c>
      <c r="O275" s="164">
        <f t="shared" si="240"/>
        <v>9.7207575593738476</v>
      </c>
      <c r="P275" s="164">
        <f t="shared" si="240"/>
        <v>9.5766751256420406</v>
      </c>
      <c r="Q275" s="164">
        <f t="shared" si="240"/>
        <v>26.282331373304242</v>
      </c>
      <c r="R275" s="164">
        <f t="shared" si="240"/>
        <v>8.4293039407328347</v>
      </c>
      <c r="S275" s="164">
        <f t="shared" si="240"/>
        <v>8.4293039407328347</v>
      </c>
      <c r="T275" s="164">
        <f t="shared" si="240"/>
        <v>8.4293039407328347</v>
      </c>
      <c r="U275" s="164">
        <f t="shared" si="240"/>
        <v>8.4293039407328347</v>
      </c>
      <c r="V275" s="164">
        <f t="shared" si="240"/>
        <v>8.4293039407328347</v>
      </c>
      <c r="W275" s="164">
        <f t="shared" si="240"/>
        <v>8.4293039407328347</v>
      </c>
      <c r="X275" s="164">
        <f t="shared" si="240"/>
        <v>8.4293039407328347</v>
      </c>
      <c r="Y275" s="164">
        <f t="shared" si="240"/>
        <v>8.4293039407328347</v>
      </c>
    </row>
    <row r="276" spans="5:25" x14ac:dyDescent="0.25">
      <c r="F276" s="89" t="s">
        <v>195</v>
      </c>
      <c r="G276" s="89" t="s">
        <v>283</v>
      </c>
      <c r="J276" s="164">
        <f t="shared" ref="J276:Y276" si="241">J233 * J$93</f>
        <v>9.1588889219841825</v>
      </c>
      <c r="K276" s="164">
        <f t="shared" si="241"/>
        <v>9.1588889219841825</v>
      </c>
      <c r="L276" s="164">
        <f t="shared" si="241"/>
        <v>10.519897984304222</v>
      </c>
      <c r="M276" s="164">
        <f t="shared" si="241"/>
        <v>10.519897984304222</v>
      </c>
      <c r="N276" s="164">
        <f t="shared" si="241"/>
        <v>9.2100519048548648</v>
      </c>
      <c r="O276" s="164">
        <f t="shared" si="241"/>
        <v>7.7993654685976024</v>
      </c>
      <c r="P276" s="164">
        <f t="shared" si="241"/>
        <v>7.683762178276293</v>
      </c>
      <c r="Q276" s="164">
        <f t="shared" si="241"/>
        <v>21.824452608599437</v>
      </c>
      <c r="R276" s="164">
        <f t="shared" si="241"/>
        <v>6.7631788652385794</v>
      </c>
      <c r="S276" s="164">
        <f t="shared" si="241"/>
        <v>6.7631788652385794</v>
      </c>
      <c r="T276" s="164">
        <f t="shared" si="241"/>
        <v>6.7631788652385794</v>
      </c>
      <c r="U276" s="164">
        <f t="shared" si="241"/>
        <v>6.7631788652385794</v>
      </c>
      <c r="V276" s="164">
        <f t="shared" si="241"/>
        <v>6.7631788652385794</v>
      </c>
      <c r="W276" s="164">
        <f t="shared" si="241"/>
        <v>6.7631788652385794</v>
      </c>
      <c r="X276" s="164">
        <f t="shared" si="241"/>
        <v>6.7631788652385794</v>
      </c>
      <c r="Y276" s="164">
        <f t="shared" si="241"/>
        <v>6.7631788652385794</v>
      </c>
    </row>
    <row r="277" spans="5:25" x14ac:dyDescent="0.25">
      <c r="F277" s="89" t="s">
        <v>196</v>
      </c>
      <c r="G277" s="89" t="s">
        <v>283</v>
      </c>
      <c r="J277" s="164">
        <f t="shared" ref="J277:Y277" si="242">J234 * J$93</f>
        <v>0</v>
      </c>
      <c r="K277" s="164">
        <f t="shared" si="242"/>
        <v>0</v>
      </c>
      <c r="L277" s="164">
        <f t="shared" si="242"/>
        <v>0</v>
      </c>
      <c r="M277" s="164">
        <f t="shared" si="242"/>
        <v>0</v>
      </c>
      <c r="N277" s="164">
        <f t="shared" si="242"/>
        <v>0</v>
      </c>
      <c r="O277" s="164">
        <f t="shared" si="242"/>
        <v>0</v>
      </c>
      <c r="P277" s="164">
        <f t="shared" si="242"/>
        <v>0</v>
      </c>
      <c r="Q277" s="164">
        <f t="shared" si="242"/>
        <v>0</v>
      </c>
      <c r="R277" s="164">
        <f t="shared" si="242"/>
        <v>0</v>
      </c>
      <c r="S277" s="164">
        <f t="shared" si="242"/>
        <v>0</v>
      </c>
      <c r="T277" s="164">
        <f t="shared" si="242"/>
        <v>0</v>
      </c>
      <c r="U277" s="164">
        <f t="shared" si="242"/>
        <v>0</v>
      </c>
      <c r="V277" s="164">
        <f t="shared" si="242"/>
        <v>0</v>
      </c>
      <c r="W277" s="164">
        <f t="shared" si="242"/>
        <v>0</v>
      </c>
      <c r="X277" s="164">
        <f t="shared" si="242"/>
        <v>0</v>
      </c>
      <c r="Y277" s="164">
        <f t="shared" si="242"/>
        <v>0</v>
      </c>
    </row>
    <row r="278" spans="5:25" x14ac:dyDescent="0.25">
      <c r="F278" s="89" t="s">
        <v>197</v>
      </c>
      <c r="G278" s="89" t="s">
        <v>283</v>
      </c>
      <c r="J278" s="164">
        <f t="shared" ref="J278:Y278" si="243">J235 * J$93</f>
        <v>9.1588889219841825</v>
      </c>
      <c r="K278" s="164">
        <f t="shared" si="243"/>
        <v>9.1588889219841825</v>
      </c>
      <c r="L278" s="164">
        <f t="shared" si="243"/>
        <v>10.519897984304222</v>
      </c>
      <c r="M278" s="164">
        <f t="shared" si="243"/>
        <v>10.519897984304222</v>
      </c>
      <c r="N278" s="164">
        <f t="shared" si="243"/>
        <v>9.2100519048548648</v>
      </c>
      <c r="O278" s="164">
        <f t="shared" si="243"/>
        <v>7.7993654685976024</v>
      </c>
      <c r="P278" s="164">
        <f t="shared" si="243"/>
        <v>7.683762178276293</v>
      </c>
      <c r="Q278" s="164">
        <f t="shared" si="243"/>
        <v>21.824452608599437</v>
      </c>
      <c r="R278" s="164">
        <f t="shared" si="243"/>
        <v>6.7631788652385794</v>
      </c>
      <c r="S278" s="164">
        <f t="shared" si="243"/>
        <v>6.7631788652385794</v>
      </c>
      <c r="T278" s="164">
        <f t="shared" si="243"/>
        <v>6.7631788652385794</v>
      </c>
      <c r="U278" s="164">
        <f t="shared" si="243"/>
        <v>6.7631788652385794</v>
      </c>
      <c r="V278" s="164">
        <f t="shared" si="243"/>
        <v>6.7631788652385794</v>
      </c>
      <c r="W278" s="164">
        <f t="shared" si="243"/>
        <v>6.7631788652385794</v>
      </c>
      <c r="X278" s="164">
        <f t="shared" si="243"/>
        <v>6.7631788652385794</v>
      </c>
      <c r="Y278" s="164">
        <f t="shared" si="243"/>
        <v>6.7631788652385794</v>
      </c>
    </row>
    <row r="279" spans="5:25" x14ac:dyDescent="0.25">
      <c r="F279" s="89" t="s">
        <v>198</v>
      </c>
      <c r="G279" s="89" t="s">
        <v>283</v>
      </c>
      <c r="J279" s="164">
        <f t="shared" ref="J279:Y279" si="244">J236 * J$93</f>
        <v>9.1588889219841825</v>
      </c>
      <c r="K279" s="164">
        <f t="shared" si="244"/>
        <v>9.1588889219841825</v>
      </c>
      <c r="L279" s="164">
        <f t="shared" si="244"/>
        <v>10.519897984304222</v>
      </c>
      <c r="M279" s="164">
        <f t="shared" si="244"/>
        <v>10.519897984304222</v>
      </c>
      <c r="N279" s="164">
        <f t="shared" si="244"/>
        <v>9.2100519048548648</v>
      </c>
      <c r="O279" s="164">
        <f t="shared" si="244"/>
        <v>7.7993654685976024</v>
      </c>
      <c r="P279" s="164">
        <f t="shared" si="244"/>
        <v>7.683762178276293</v>
      </c>
      <c r="Q279" s="164">
        <f t="shared" si="244"/>
        <v>21.824452608599437</v>
      </c>
      <c r="R279" s="164">
        <f t="shared" si="244"/>
        <v>6.7631788652385794</v>
      </c>
      <c r="S279" s="164">
        <f t="shared" si="244"/>
        <v>6.7631788652385794</v>
      </c>
      <c r="T279" s="164">
        <f t="shared" si="244"/>
        <v>6.7631788652385794</v>
      </c>
      <c r="U279" s="164">
        <f t="shared" si="244"/>
        <v>6.7631788652385794</v>
      </c>
      <c r="V279" s="164">
        <f t="shared" si="244"/>
        <v>6.7631788652385794</v>
      </c>
      <c r="W279" s="164">
        <f t="shared" si="244"/>
        <v>6.7631788652385794</v>
      </c>
      <c r="X279" s="164">
        <f t="shared" si="244"/>
        <v>6.7631788652385794</v>
      </c>
      <c r="Y279" s="164">
        <f t="shared" si="244"/>
        <v>6.7631788652385794</v>
      </c>
    </row>
    <row r="280" spans="5:25" x14ac:dyDescent="0.25">
      <c r="F280" s="96" t="s">
        <v>199</v>
      </c>
      <c r="G280" s="96" t="s">
        <v>283</v>
      </c>
      <c r="H280" s="91"/>
      <c r="I280" s="91"/>
      <c r="J280" s="174">
        <f t="shared" ref="J280:Y280" si="245">J237 * J$93</f>
        <v>9.1588889219841825</v>
      </c>
      <c r="K280" s="174">
        <f t="shared" si="245"/>
        <v>9.1588889219841825</v>
      </c>
      <c r="L280" s="174">
        <f t="shared" si="245"/>
        <v>10.519897984304222</v>
      </c>
      <c r="M280" s="174">
        <f t="shared" si="245"/>
        <v>10.519897984304222</v>
      </c>
      <c r="N280" s="174">
        <f t="shared" si="245"/>
        <v>9.2100519048548648</v>
      </c>
      <c r="O280" s="174">
        <f t="shared" si="245"/>
        <v>7.7993654685976024</v>
      </c>
      <c r="P280" s="174">
        <f t="shared" si="245"/>
        <v>7.683762178276293</v>
      </c>
      <c r="Q280" s="174">
        <f t="shared" si="245"/>
        <v>21.824452608599437</v>
      </c>
      <c r="R280" s="174">
        <f t="shared" si="245"/>
        <v>6.7631788652385794</v>
      </c>
      <c r="S280" s="174">
        <f t="shared" si="245"/>
        <v>6.7631788652385794</v>
      </c>
      <c r="T280" s="174">
        <f t="shared" si="245"/>
        <v>6.7631788652385794</v>
      </c>
      <c r="U280" s="174">
        <f t="shared" si="245"/>
        <v>6.7631788652385794</v>
      </c>
      <c r="V280" s="174">
        <f t="shared" si="245"/>
        <v>6.7631788652385794</v>
      </c>
      <c r="W280" s="174">
        <f t="shared" si="245"/>
        <v>6.7631788652385794</v>
      </c>
      <c r="X280" s="174">
        <f t="shared" si="245"/>
        <v>6.7631788652385794</v>
      </c>
      <c r="Y280" s="174">
        <f t="shared" si="245"/>
        <v>6.7631788652385794</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157</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191</v>
      </c>
      <c r="G283" s="93" t="s">
        <v>283</v>
      </c>
      <c r="H283" s="90"/>
      <c r="I283" s="90"/>
      <c r="J283" s="145">
        <f>J240 * J$93</f>
        <v>0.83075793868016534</v>
      </c>
      <c r="K283" s="145">
        <f t="shared" ref="K283:Y283" si="246">K240 * K$93</f>
        <v>0.83075793868016534</v>
      </c>
      <c r="L283" s="145">
        <f t="shared" si="246"/>
        <v>0.95420840224284309</v>
      </c>
      <c r="M283" s="145">
        <f t="shared" si="246"/>
        <v>0.95420840224284309</v>
      </c>
      <c r="N283" s="145">
        <f t="shared" si="246"/>
        <v>0.83539868217519275</v>
      </c>
      <c r="O283" s="145">
        <f t="shared" si="246"/>
        <v>0.70744222742486451</v>
      </c>
      <c r="P283" s="145">
        <f t="shared" si="246"/>
        <v>0.69695641937652653</v>
      </c>
      <c r="Q283" s="145">
        <f t="shared" si="246"/>
        <v>0.71226727051894578</v>
      </c>
      <c r="R283" s="145">
        <f t="shared" si="246"/>
        <v>0.61345481759523901</v>
      </c>
      <c r="S283" s="145">
        <f t="shared" si="246"/>
        <v>0.61345481759523901</v>
      </c>
      <c r="T283" s="145">
        <f t="shared" si="246"/>
        <v>0.61345481759523901</v>
      </c>
      <c r="U283" s="145">
        <f t="shared" si="246"/>
        <v>0.61345481759523901</v>
      </c>
      <c r="V283" s="145">
        <f t="shared" si="246"/>
        <v>0.61345481759523901</v>
      </c>
      <c r="W283" s="145">
        <f t="shared" si="246"/>
        <v>0.61345481759523901</v>
      </c>
      <c r="X283" s="145">
        <f t="shared" si="246"/>
        <v>0.61345481759523901</v>
      </c>
      <c r="Y283" s="145">
        <f t="shared" si="246"/>
        <v>0.61345481759523901</v>
      </c>
    </row>
    <row r="284" spans="5:25" x14ac:dyDescent="0.25">
      <c r="F284" s="89" t="s">
        <v>192</v>
      </c>
      <c r="G284" s="89" t="s">
        <v>283</v>
      </c>
      <c r="J284" s="164">
        <f t="shared" ref="J284:Y284" si="247">J241 * J$93</f>
        <v>0</v>
      </c>
      <c r="K284" s="164">
        <f t="shared" si="247"/>
        <v>0</v>
      </c>
      <c r="L284" s="164">
        <f t="shared" si="247"/>
        <v>0</v>
      </c>
      <c r="M284" s="164">
        <f t="shared" si="247"/>
        <v>0</v>
      </c>
      <c r="N284" s="164">
        <f t="shared" si="247"/>
        <v>0</v>
      </c>
      <c r="O284" s="164">
        <f t="shared" si="247"/>
        <v>0</v>
      </c>
      <c r="P284" s="164">
        <f t="shared" si="247"/>
        <v>0</v>
      </c>
      <c r="Q284" s="164">
        <f t="shared" si="247"/>
        <v>0</v>
      </c>
      <c r="R284" s="164">
        <f t="shared" si="247"/>
        <v>0</v>
      </c>
      <c r="S284" s="164">
        <f t="shared" si="247"/>
        <v>0</v>
      </c>
      <c r="T284" s="164">
        <f t="shared" si="247"/>
        <v>0</v>
      </c>
      <c r="U284" s="164">
        <f t="shared" si="247"/>
        <v>0</v>
      </c>
      <c r="V284" s="164">
        <f t="shared" si="247"/>
        <v>0</v>
      </c>
      <c r="W284" s="164">
        <f t="shared" si="247"/>
        <v>0</v>
      </c>
      <c r="X284" s="164">
        <f t="shared" si="247"/>
        <v>0</v>
      </c>
      <c r="Y284" s="164">
        <f t="shared" si="247"/>
        <v>0</v>
      </c>
    </row>
    <row r="285" spans="5:25" x14ac:dyDescent="0.25">
      <c r="F285" s="89" t="s">
        <v>193</v>
      </c>
      <c r="G285" s="89" t="s">
        <v>283</v>
      </c>
      <c r="J285" s="164">
        <f t="shared" ref="J285:Y285" si="248">J242 * J$93</f>
        <v>0</v>
      </c>
      <c r="K285" s="164">
        <f t="shared" si="248"/>
        <v>0</v>
      </c>
      <c r="L285" s="164">
        <f t="shared" si="248"/>
        <v>0</v>
      </c>
      <c r="M285" s="164">
        <f t="shared" si="248"/>
        <v>0</v>
      </c>
      <c r="N285" s="164">
        <f t="shared" si="248"/>
        <v>0</v>
      </c>
      <c r="O285" s="164">
        <f t="shared" si="248"/>
        <v>0</v>
      </c>
      <c r="P285" s="164">
        <f t="shared" si="248"/>
        <v>0</v>
      </c>
      <c r="Q285" s="164">
        <f t="shared" si="248"/>
        <v>0</v>
      </c>
      <c r="R285" s="164">
        <f t="shared" si="248"/>
        <v>0</v>
      </c>
      <c r="S285" s="164">
        <f t="shared" si="248"/>
        <v>0</v>
      </c>
      <c r="T285" s="164">
        <f t="shared" si="248"/>
        <v>0</v>
      </c>
      <c r="U285" s="164">
        <f t="shared" si="248"/>
        <v>0</v>
      </c>
      <c r="V285" s="164">
        <f t="shared" si="248"/>
        <v>0</v>
      </c>
      <c r="W285" s="164">
        <f t="shared" si="248"/>
        <v>0</v>
      </c>
      <c r="X285" s="164">
        <f t="shared" si="248"/>
        <v>0</v>
      </c>
      <c r="Y285" s="164">
        <f t="shared" si="248"/>
        <v>0</v>
      </c>
    </row>
    <row r="286" spans="5:25" x14ac:dyDescent="0.25">
      <c r="F286" s="89" t="s">
        <v>194</v>
      </c>
      <c r="G286" s="89" t="s">
        <v>283</v>
      </c>
      <c r="J286" s="164">
        <f t="shared" ref="J286:Y286" si="249">J243 * J$93</f>
        <v>0.83075793868016534</v>
      </c>
      <c r="K286" s="164">
        <f t="shared" si="249"/>
        <v>0.83075793868016534</v>
      </c>
      <c r="L286" s="164">
        <f t="shared" si="249"/>
        <v>0.95420840224284309</v>
      </c>
      <c r="M286" s="164">
        <f t="shared" si="249"/>
        <v>0.95420840224284309</v>
      </c>
      <c r="N286" s="164">
        <f t="shared" si="249"/>
        <v>0.83539868217519275</v>
      </c>
      <c r="O286" s="164">
        <f t="shared" si="249"/>
        <v>0.70744222742486451</v>
      </c>
      <c r="P286" s="164">
        <f t="shared" si="249"/>
        <v>0.69695641937652653</v>
      </c>
      <c r="Q286" s="164">
        <f t="shared" si="249"/>
        <v>0.71226727051894578</v>
      </c>
      <c r="R286" s="164">
        <f t="shared" si="249"/>
        <v>0.61345481759523901</v>
      </c>
      <c r="S286" s="164">
        <f t="shared" si="249"/>
        <v>0.61345481759523901</v>
      </c>
      <c r="T286" s="164">
        <f t="shared" si="249"/>
        <v>0.61345481759523901</v>
      </c>
      <c r="U286" s="164">
        <f t="shared" si="249"/>
        <v>0.61345481759523901</v>
      </c>
      <c r="V286" s="164">
        <f t="shared" si="249"/>
        <v>0.61345481759523901</v>
      </c>
      <c r="W286" s="164">
        <f t="shared" si="249"/>
        <v>0.61345481759523901</v>
      </c>
      <c r="X286" s="164">
        <f t="shared" si="249"/>
        <v>0.61345481759523901</v>
      </c>
      <c r="Y286" s="164">
        <f t="shared" si="249"/>
        <v>0.61345481759523901</v>
      </c>
    </row>
    <row r="287" spans="5:25" x14ac:dyDescent="0.25">
      <c r="F287" s="89" t="s">
        <v>195</v>
      </c>
      <c r="G287" s="89" t="s">
        <v>283</v>
      </c>
      <c r="J287" s="164">
        <f t="shared" ref="J287:Y287" si="250">J244 * J$93</f>
        <v>1.3390623186418318</v>
      </c>
      <c r="K287" s="164">
        <f t="shared" si="250"/>
        <v>1.3390623186418318</v>
      </c>
      <c r="L287" s="164">
        <f t="shared" si="250"/>
        <v>1.5380467114220857</v>
      </c>
      <c r="M287" s="164">
        <f t="shared" si="250"/>
        <v>1.5380467114220857</v>
      </c>
      <c r="N287" s="164">
        <f t="shared" si="250"/>
        <v>1.3465425297302096</v>
      </c>
      <c r="O287" s="164">
        <f t="shared" si="250"/>
        <v>1.1402951272011703</v>
      </c>
      <c r="P287" s="164">
        <f t="shared" si="250"/>
        <v>1.1233935126823273</v>
      </c>
      <c r="Q287" s="164">
        <f t="shared" si="250"/>
        <v>0.99433066711801354</v>
      </c>
      <c r="R287" s="164">
        <f t="shared" si="250"/>
        <v>0.98880093970108363</v>
      </c>
      <c r="S287" s="164">
        <f t="shared" si="250"/>
        <v>0.98880093970108363</v>
      </c>
      <c r="T287" s="164">
        <f t="shared" si="250"/>
        <v>0.98880093970108363</v>
      </c>
      <c r="U287" s="164">
        <f t="shared" si="250"/>
        <v>0.98880093970108363</v>
      </c>
      <c r="V287" s="164">
        <f t="shared" si="250"/>
        <v>0.98880093970108363</v>
      </c>
      <c r="W287" s="164">
        <f t="shared" si="250"/>
        <v>0.98880093970108363</v>
      </c>
      <c r="X287" s="164">
        <f t="shared" si="250"/>
        <v>0.98880093970108363</v>
      </c>
      <c r="Y287" s="164">
        <f t="shared" si="250"/>
        <v>0.98880093970108363</v>
      </c>
    </row>
    <row r="288" spans="5:25" x14ac:dyDescent="0.25">
      <c r="F288" s="89" t="s">
        <v>196</v>
      </c>
      <c r="G288" s="89" t="s">
        <v>283</v>
      </c>
      <c r="J288" s="164">
        <f t="shared" ref="J288:Y288" si="251">J245 * J$93</f>
        <v>0</v>
      </c>
      <c r="K288" s="164">
        <f t="shared" si="251"/>
        <v>0</v>
      </c>
      <c r="L288" s="164">
        <f t="shared" si="251"/>
        <v>0</v>
      </c>
      <c r="M288" s="164">
        <f t="shared" si="251"/>
        <v>0</v>
      </c>
      <c r="N288" s="164">
        <f t="shared" si="251"/>
        <v>0</v>
      </c>
      <c r="O288" s="164">
        <f t="shared" si="251"/>
        <v>0</v>
      </c>
      <c r="P288" s="164">
        <f t="shared" si="251"/>
        <v>0</v>
      </c>
      <c r="Q288" s="164">
        <f t="shared" si="251"/>
        <v>0</v>
      </c>
      <c r="R288" s="164">
        <f t="shared" si="251"/>
        <v>0</v>
      </c>
      <c r="S288" s="164">
        <f t="shared" si="251"/>
        <v>0</v>
      </c>
      <c r="T288" s="164">
        <f t="shared" si="251"/>
        <v>0</v>
      </c>
      <c r="U288" s="164">
        <f t="shared" si="251"/>
        <v>0</v>
      </c>
      <c r="V288" s="164">
        <f t="shared" si="251"/>
        <v>0</v>
      </c>
      <c r="W288" s="164">
        <f t="shared" si="251"/>
        <v>0</v>
      </c>
      <c r="X288" s="164">
        <f t="shared" si="251"/>
        <v>0</v>
      </c>
      <c r="Y288" s="164">
        <f t="shared" si="251"/>
        <v>0</v>
      </c>
    </row>
    <row r="289" spans="2:27" x14ac:dyDescent="0.25">
      <c r="F289" s="89" t="s">
        <v>197</v>
      </c>
      <c r="G289" s="89" t="s">
        <v>283</v>
      </c>
      <c r="J289" s="164">
        <f t="shared" ref="J289:Y289" si="252">J246 * J$93</f>
        <v>1.3390623186418318</v>
      </c>
      <c r="K289" s="164">
        <f t="shared" si="252"/>
        <v>1.3390623186418318</v>
      </c>
      <c r="L289" s="164">
        <f t="shared" si="252"/>
        <v>1.5380467114220857</v>
      </c>
      <c r="M289" s="164">
        <f t="shared" si="252"/>
        <v>1.5380467114220857</v>
      </c>
      <c r="N289" s="164">
        <f t="shared" si="252"/>
        <v>1.3465425297302096</v>
      </c>
      <c r="O289" s="164">
        <f t="shared" si="252"/>
        <v>1.1402951272011703</v>
      </c>
      <c r="P289" s="164">
        <f t="shared" si="252"/>
        <v>1.1233935126823273</v>
      </c>
      <c r="Q289" s="164">
        <f t="shared" si="252"/>
        <v>0.99433066711801354</v>
      </c>
      <c r="R289" s="164">
        <f t="shared" si="252"/>
        <v>0.98880093970108363</v>
      </c>
      <c r="S289" s="164">
        <f t="shared" si="252"/>
        <v>0.98880093970108363</v>
      </c>
      <c r="T289" s="164">
        <f t="shared" si="252"/>
        <v>0.98880093970108363</v>
      </c>
      <c r="U289" s="164">
        <f t="shared" si="252"/>
        <v>0.98880093970108363</v>
      </c>
      <c r="V289" s="164">
        <f t="shared" si="252"/>
        <v>0.98880093970108363</v>
      </c>
      <c r="W289" s="164">
        <f t="shared" si="252"/>
        <v>0.98880093970108363</v>
      </c>
      <c r="X289" s="164">
        <f t="shared" si="252"/>
        <v>0.98880093970108363</v>
      </c>
      <c r="Y289" s="164">
        <f t="shared" si="252"/>
        <v>0.98880093970108363</v>
      </c>
    </row>
    <row r="290" spans="2:27" x14ac:dyDescent="0.25">
      <c r="F290" s="89" t="s">
        <v>198</v>
      </c>
      <c r="G290" s="89" t="s">
        <v>283</v>
      </c>
      <c r="J290" s="164">
        <f t="shared" ref="J290:Y290" si="253">J247 * J$93</f>
        <v>1.3390623186418318</v>
      </c>
      <c r="K290" s="164">
        <f t="shared" si="253"/>
        <v>1.3390623186418318</v>
      </c>
      <c r="L290" s="164">
        <f t="shared" si="253"/>
        <v>1.5380467114220857</v>
      </c>
      <c r="M290" s="164">
        <f t="shared" si="253"/>
        <v>1.5380467114220857</v>
      </c>
      <c r="N290" s="164">
        <f t="shared" si="253"/>
        <v>1.3465425297302096</v>
      </c>
      <c r="O290" s="164">
        <f t="shared" si="253"/>
        <v>1.1402951272011703</v>
      </c>
      <c r="P290" s="164">
        <f t="shared" si="253"/>
        <v>1.1233935126823273</v>
      </c>
      <c r="Q290" s="164">
        <f t="shared" si="253"/>
        <v>0.99433066711801354</v>
      </c>
      <c r="R290" s="164">
        <f t="shared" si="253"/>
        <v>0.98880093970108363</v>
      </c>
      <c r="S290" s="164">
        <f t="shared" si="253"/>
        <v>0.98880093970108363</v>
      </c>
      <c r="T290" s="164">
        <f t="shared" si="253"/>
        <v>0.98880093970108363</v>
      </c>
      <c r="U290" s="164">
        <f t="shared" si="253"/>
        <v>0.98880093970108363</v>
      </c>
      <c r="V290" s="164">
        <f t="shared" si="253"/>
        <v>0.98880093970108363</v>
      </c>
      <c r="W290" s="164">
        <f t="shared" si="253"/>
        <v>0.98880093970108363</v>
      </c>
      <c r="X290" s="164">
        <f t="shared" si="253"/>
        <v>0.98880093970108363</v>
      </c>
      <c r="Y290" s="164">
        <f t="shared" si="253"/>
        <v>0.98880093970108363</v>
      </c>
    </row>
    <row r="291" spans="2:27" x14ac:dyDescent="0.25">
      <c r="F291" s="96" t="s">
        <v>199</v>
      </c>
      <c r="G291" s="96" t="s">
        <v>283</v>
      </c>
      <c r="H291" s="91"/>
      <c r="I291" s="91"/>
      <c r="J291" s="174">
        <f t="shared" ref="J291:Y291" si="254">J248 * J$93</f>
        <v>1.3390623186418318</v>
      </c>
      <c r="K291" s="174">
        <f t="shared" si="254"/>
        <v>1.3390623186418318</v>
      </c>
      <c r="L291" s="174">
        <f t="shared" si="254"/>
        <v>1.5380467114220857</v>
      </c>
      <c r="M291" s="174">
        <f t="shared" si="254"/>
        <v>1.5380467114220857</v>
      </c>
      <c r="N291" s="174">
        <f t="shared" si="254"/>
        <v>1.3465425297302096</v>
      </c>
      <c r="O291" s="174">
        <f t="shared" si="254"/>
        <v>1.1402951272011703</v>
      </c>
      <c r="P291" s="174">
        <f t="shared" si="254"/>
        <v>1.1233935126823273</v>
      </c>
      <c r="Q291" s="174">
        <f t="shared" si="254"/>
        <v>0.99433066711801354</v>
      </c>
      <c r="R291" s="174">
        <f t="shared" si="254"/>
        <v>0.98880093970108363</v>
      </c>
      <c r="S291" s="174">
        <f t="shared" si="254"/>
        <v>0.98880093970108363</v>
      </c>
      <c r="T291" s="174">
        <f t="shared" si="254"/>
        <v>0.98880093970108363</v>
      </c>
      <c r="U291" s="174">
        <f t="shared" si="254"/>
        <v>0.98880093970108363</v>
      </c>
      <c r="V291" s="174">
        <f t="shared" si="254"/>
        <v>0.98880093970108363</v>
      </c>
      <c r="W291" s="174">
        <f t="shared" si="254"/>
        <v>0.98880093970108363</v>
      </c>
      <c r="X291" s="174">
        <f t="shared" si="254"/>
        <v>0.98880093970108363</v>
      </c>
      <c r="Y291" s="174">
        <f t="shared" si="254"/>
        <v>0.98880093970108363</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158</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191</v>
      </c>
      <c r="G294" s="93" t="s">
        <v>283</v>
      </c>
      <c r="H294" s="90"/>
      <c r="I294" s="90"/>
      <c r="J294" s="145">
        <f>J251 * J$93</f>
        <v>1.8823355421454451E-2</v>
      </c>
      <c r="K294" s="145">
        <f t="shared" ref="K294:Y294" si="255">K251 * K$93</f>
        <v>1.8823355421454451E-2</v>
      </c>
      <c r="L294" s="145">
        <f t="shared" si="255"/>
        <v>2.1620502273009511E-2</v>
      </c>
      <c r="M294" s="145">
        <f t="shared" si="255"/>
        <v>2.1620502273009511E-2</v>
      </c>
      <c r="N294" s="145">
        <f t="shared" si="255"/>
        <v>1.892850562244499E-2</v>
      </c>
      <c r="O294" s="145">
        <f t="shared" si="255"/>
        <v>1.6029261794500108E-2</v>
      </c>
      <c r="P294" s="145">
        <f t="shared" si="255"/>
        <v>1.5791673825026605E-2</v>
      </c>
      <c r="Q294" s="145">
        <f t="shared" si="255"/>
        <v>1.5203280823562695E-2</v>
      </c>
      <c r="R294" s="145">
        <f t="shared" si="255"/>
        <v>1.3899690305631009E-2</v>
      </c>
      <c r="S294" s="145">
        <f t="shared" si="255"/>
        <v>1.3899690305631009E-2</v>
      </c>
      <c r="T294" s="145">
        <f t="shared" si="255"/>
        <v>1.3899690305631009E-2</v>
      </c>
      <c r="U294" s="145">
        <f t="shared" si="255"/>
        <v>1.3899690305631009E-2</v>
      </c>
      <c r="V294" s="145">
        <f t="shared" si="255"/>
        <v>1.3899690305631009E-2</v>
      </c>
      <c r="W294" s="145">
        <f t="shared" si="255"/>
        <v>1.3899690305631009E-2</v>
      </c>
      <c r="X294" s="145">
        <f t="shared" si="255"/>
        <v>1.3899690305631009E-2</v>
      </c>
      <c r="Y294" s="145">
        <f t="shared" si="255"/>
        <v>1.3899690305631009E-2</v>
      </c>
    </row>
    <row r="295" spans="2:27" x14ac:dyDescent="0.25">
      <c r="F295" s="89" t="s">
        <v>192</v>
      </c>
      <c r="G295" s="89" t="s">
        <v>283</v>
      </c>
      <c r="J295" s="164">
        <f t="shared" ref="J295:Y295" si="256">J252 * J$93</f>
        <v>0</v>
      </c>
      <c r="K295" s="164">
        <f t="shared" si="256"/>
        <v>0</v>
      </c>
      <c r="L295" s="164">
        <f t="shared" si="256"/>
        <v>0</v>
      </c>
      <c r="M295" s="164">
        <f t="shared" si="256"/>
        <v>0</v>
      </c>
      <c r="N295" s="164">
        <f t="shared" si="256"/>
        <v>0</v>
      </c>
      <c r="O295" s="164">
        <f t="shared" si="256"/>
        <v>0</v>
      </c>
      <c r="P295" s="164">
        <f t="shared" si="256"/>
        <v>0</v>
      </c>
      <c r="Q295" s="164">
        <f t="shared" si="256"/>
        <v>0</v>
      </c>
      <c r="R295" s="164">
        <f t="shared" si="256"/>
        <v>0</v>
      </c>
      <c r="S295" s="164">
        <f t="shared" si="256"/>
        <v>0</v>
      </c>
      <c r="T295" s="164">
        <f t="shared" si="256"/>
        <v>0</v>
      </c>
      <c r="U295" s="164">
        <f t="shared" si="256"/>
        <v>0</v>
      </c>
      <c r="V295" s="164">
        <f t="shared" si="256"/>
        <v>0</v>
      </c>
      <c r="W295" s="164">
        <f t="shared" si="256"/>
        <v>0</v>
      </c>
      <c r="X295" s="164">
        <f t="shared" si="256"/>
        <v>0</v>
      </c>
      <c r="Y295" s="164">
        <f t="shared" si="256"/>
        <v>0</v>
      </c>
    </row>
    <row r="296" spans="2:27" x14ac:dyDescent="0.25">
      <c r="F296" s="89" t="s">
        <v>193</v>
      </c>
      <c r="G296" s="89" t="s">
        <v>283</v>
      </c>
      <c r="J296" s="164">
        <f t="shared" ref="J296:Y296" si="257">J253 * J$93</f>
        <v>0</v>
      </c>
      <c r="K296" s="164">
        <f t="shared" si="257"/>
        <v>0</v>
      </c>
      <c r="L296" s="164">
        <f t="shared" si="257"/>
        <v>0</v>
      </c>
      <c r="M296" s="164">
        <f t="shared" si="257"/>
        <v>0</v>
      </c>
      <c r="N296" s="164">
        <f t="shared" si="257"/>
        <v>0</v>
      </c>
      <c r="O296" s="164">
        <f t="shared" si="257"/>
        <v>0</v>
      </c>
      <c r="P296" s="164">
        <f t="shared" si="257"/>
        <v>0</v>
      </c>
      <c r="Q296" s="164">
        <f t="shared" si="257"/>
        <v>0</v>
      </c>
      <c r="R296" s="164">
        <f t="shared" si="257"/>
        <v>0</v>
      </c>
      <c r="S296" s="164">
        <f t="shared" si="257"/>
        <v>0</v>
      </c>
      <c r="T296" s="164">
        <f t="shared" si="257"/>
        <v>0</v>
      </c>
      <c r="U296" s="164">
        <f t="shared" si="257"/>
        <v>0</v>
      </c>
      <c r="V296" s="164">
        <f t="shared" si="257"/>
        <v>0</v>
      </c>
      <c r="W296" s="164">
        <f t="shared" si="257"/>
        <v>0</v>
      </c>
      <c r="X296" s="164">
        <f t="shared" si="257"/>
        <v>0</v>
      </c>
      <c r="Y296" s="164">
        <f t="shared" si="257"/>
        <v>0</v>
      </c>
    </row>
    <row r="297" spans="2:27" x14ac:dyDescent="0.25">
      <c r="F297" s="89" t="s">
        <v>194</v>
      </c>
      <c r="G297" s="89" t="s">
        <v>283</v>
      </c>
      <c r="J297" s="164">
        <f t="shared" ref="J297:Y297" si="258">J254 * J$93</f>
        <v>1.8823355421454451E-2</v>
      </c>
      <c r="K297" s="164">
        <f t="shared" si="258"/>
        <v>1.8823355421454451E-2</v>
      </c>
      <c r="L297" s="164">
        <f t="shared" si="258"/>
        <v>2.1620502273009511E-2</v>
      </c>
      <c r="M297" s="164">
        <f t="shared" si="258"/>
        <v>2.1620502273009511E-2</v>
      </c>
      <c r="N297" s="164">
        <f t="shared" si="258"/>
        <v>1.892850562244499E-2</v>
      </c>
      <c r="O297" s="164">
        <f t="shared" si="258"/>
        <v>1.6029261794500108E-2</v>
      </c>
      <c r="P297" s="164">
        <f t="shared" si="258"/>
        <v>1.5791673825026605E-2</v>
      </c>
      <c r="Q297" s="164">
        <f t="shared" si="258"/>
        <v>1.5203280823562695E-2</v>
      </c>
      <c r="R297" s="164">
        <f t="shared" si="258"/>
        <v>1.3899690305631009E-2</v>
      </c>
      <c r="S297" s="164">
        <f t="shared" si="258"/>
        <v>1.3899690305631009E-2</v>
      </c>
      <c r="T297" s="164">
        <f t="shared" si="258"/>
        <v>1.3899690305631009E-2</v>
      </c>
      <c r="U297" s="164">
        <f t="shared" si="258"/>
        <v>1.3899690305631009E-2</v>
      </c>
      <c r="V297" s="164">
        <f t="shared" si="258"/>
        <v>1.3899690305631009E-2</v>
      </c>
      <c r="W297" s="164">
        <f t="shared" si="258"/>
        <v>1.3899690305631009E-2</v>
      </c>
      <c r="X297" s="164">
        <f t="shared" si="258"/>
        <v>1.3899690305631009E-2</v>
      </c>
      <c r="Y297" s="164">
        <f t="shared" si="258"/>
        <v>1.3899690305631009E-2</v>
      </c>
    </row>
    <row r="298" spans="2:27" x14ac:dyDescent="0.25">
      <c r="F298" s="89" t="s">
        <v>195</v>
      </c>
      <c r="G298" s="89" t="s">
        <v>283</v>
      </c>
      <c r="J298" s="164">
        <f t="shared" ref="J298:Y298" si="259">J255 * J$93</f>
        <v>2.5306573288918797E-2</v>
      </c>
      <c r="K298" s="164">
        <f t="shared" si="259"/>
        <v>2.5306573288918797E-2</v>
      </c>
      <c r="L298" s="164">
        <f t="shared" si="259"/>
        <v>2.9067125019141455E-2</v>
      </c>
      <c r="M298" s="164">
        <f t="shared" si="259"/>
        <v>2.9067125019141455E-2</v>
      </c>
      <c r="N298" s="164">
        <f t="shared" si="259"/>
        <v>2.5447939756699491E-2</v>
      </c>
      <c r="O298" s="164">
        <f t="shared" si="259"/>
        <v>2.1550126387532207E-2</v>
      </c>
      <c r="P298" s="164">
        <f t="shared" si="259"/>
        <v>2.1230707387708526E-2</v>
      </c>
      <c r="Q298" s="164">
        <f t="shared" si="259"/>
        <v>2.0439657636968457E-2</v>
      </c>
      <c r="R298" s="164">
        <f t="shared" si="259"/>
        <v>1.8687079085368818E-2</v>
      </c>
      <c r="S298" s="164">
        <f t="shared" si="259"/>
        <v>1.8687079085368818E-2</v>
      </c>
      <c r="T298" s="164">
        <f t="shared" si="259"/>
        <v>1.8687079085368818E-2</v>
      </c>
      <c r="U298" s="164">
        <f t="shared" si="259"/>
        <v>1.8687079085368818E-2</v>
      </c>
      <c r="V298" s="164">
        <f t="shared" si="259"/>
        <v>1.8687079085368818E-2</v>
      </c>
      <c r="W298" s="164">
        <f t="shared" si="259"/>
        <v>1.8687079085368818E-2</v>
      </c>
      <c r="X298" s="164">
        <f t="shared" si="259"/>
        <v>1.8687079085368818E-2</v>
      </c>
      <c r="Y298" s="164">
        <f t="shared" si="259"/>
        <v>1.8687079085368818E-2</v>
      </c>
    </row>
    <row r="299" spans="2:27" x14ac:dyDescent="0.25">
      <c r="F299" s="89" t="s">
        <v>196</v>
      </c>
      <c r="G299" s="89" t="s">
        <v>283</v>
      </c>
      <c r="J299" s="164">
        <f t="shared" ref="J299:Y299" si="260">J256 * J$93</f>
        <v>0</v>
      </c>
      <c r="K299" s="164">
        <f t="shared" si="260"/>
        <v>0</v>
      </c>
      <c r="L299" s="164">
        <f t="shared" si="260"/>
        <v>0</v>
      </c>
      <c r="M299" s="164">
        <f t="shared" si="260"/>
        <v>0</v>
      </c>
      <c r="N299" s="164">
        <f t="shared" si="260"/>
        <v>0</v>
      </c>
      <c r="O299" s="164">
        <f t="shared" si="260"/>
        <v>0</v>
      </c>
      <c r="P299" s="164">
        <f t="shared" si="260"/>
        <v>0</v>
      </c>
      <c r="Q299" s="164">
        <f t="shared" si="260"/>
        <v>0</v>
      </c>
      <c r="R299" s="164">
        <f t="shared" si="260"/>
        <v>0</v>
      </c>
      <c r="S299" s="164">
        <f t="shared" si="260"/>
        <v>0</v>
      </c>
      <c r="T299" s="164">
        <f t="shared" si="260"/>
        <v>0</v>
      </c>
      <c r="U299" s="164">
        <f t="shared" si="260"/>
        <v>0</v>
      </c>
      <c r="V299" s="164">
        <f t="shared" si="260"/>
        <v>0</v>
      </c>
      <c r="W299" s="164">
        <f t="shared" si="260"/>
        <v>0</v>
      </c>
      <c r="X299" s="164">
        <f t="shared" si="260"/>
        <v>0</v>
      </c>
      <c r="Y299" s="164">
        <f t="shared" si="260"/>
        <v>0</v>
      </c>
    </row>
    <row r="300" spans="2:27" x14ac:dyDescent="0.25">
      <c r="F300" s="89" t="s">
        <v>197</v>
      </c>
      <c r="G300" s="89" t="s">
        <v>283</v>
      </c>
      <c r="J300" s="164">
        <f t="shared" ref="J300:Y300" si="261">J257 * J$93</f>
        <v>2.5306573288918797E-2</v>
      </c>
      <c r="K300" s="164">
        <f t="shared" si="261"/>
        <v>2.5306573288918797E-2</v>
      </c>
      <c r="L300" s="164">
        <f t="shared" si="261"/>
        <v>2.9067125019141455E-2</v>
      </c>
      <c r="M300" s="164">
        <f t="shared" si="261"/>
        <v>2.9067125019141455E-2</v>
      </c>
      <c r="N300" s="164">
        <f t="shared" si="261"/>
        <v>2.5447939756699491E-2</v>
      </c>
      <c r="O300" s="164">
        <f t="shared" si="261"/>
        <v>2.1550126387532207E-2</v>
      </c>
      <c r="P300" s="164">
        <f t="shared" si="261"/>
        <v>2.1230707387708526E-2</v>
      </c>
      <c r="Q300" s="164">
        <f t="shared" si="261"/>
        <v>2.0439657636968457E-2</v>
      </c>
      <c r="R300" s="164">
        <f t="shared" si="261"/>
        <v>1.8687079085368818E-2</v>
      </c>
      <c r="S300" s="164">
        <f t="shared" si="261"/>
        <v>1.8687079085368818E-2</v>
      </c>
      <c r="T300" s="164">
        <f t="shared" si="261"/>
        <v>1.8687079085368818E-2</v>
      </c>
      <c r="U300" s="164">
        <f t="shared" si="261"/>
        <v>1.8687079085368818E-2</v>
      </c>
      <c r="V300" s="164">
        <f t="shared" si="261"/>
        <v>1.8687079085368818E-2</v>
      </c>
      <c r="W300" s="164">
        <f t="shared" si="261"/>
        <v>1.8687079085368818E-2</v>
      </c>
      <c r="X300" s="164">
        <f t="shared" si="261"/>
        <v>1.8687079085368818E-2</v>
      </c>
      <c r="Y300" s="164">
        <f t="shared" si="261"/>
        <v>1.8687079085368818E-2</v>
      </c>
    </row>
    <row r="301" spans="2:27" x14ac:dyDescent="0.25">
      <c r="F301" s="89" t="s">
        <v>198</v>
      </c>
      <c r="G301" s="89" t="s">
        <v>283</v>
      </c>
      <c r="J301" s="164">
        <f t="shared" ref="J301:Y301" si="262">J258 * J$93</f>
        <v>2.5306573288918797E-2</v>
      </c>
      <c r="K301" s="164">
        <f t="shared" si="262"/>
        <v>2.5306573288918797E-2</v>
      </c>
      <c r="L301" s="164">
        <f t="shared" si="262"/>
        <v>2.9067125019141455E-2</v>
      </c>
      <c r="M301" s="164">
        <f t="shared" si="262"/>
        <v>2.9067125019141455E-2</v>
      </c>
      <c r="N301" s="164">
        <f t="shared" si="262"/>
        <v>2.5447939756699491E-2</v>
      </c>
      <c r="O301" s="164">
        <f t="shared" si="262"/>
        <v>2.1550126387532207E-2</v>
      </c>
      <c r="P301" s="164">
        <f t="shared" si="262"/>
        <v>2.1230707387708526E-2</v>
      </c>
      <c r="Q301" s="164">
        <f t="shared" si="262"/>
        <v>2.0439657636968457E-2</v>
      </c>
      <c r="R301" s="164">
        <f t="shared" si="262"/>
        <v>1.8687079085368818E-2</v>
      </c>
      <c r="S301" s="164">
        <f t="shared" si="262"/>
        <v>1.8687079085368818E-2</v>
      </c>
      <c r="T301" s="164">
        <f t="shared" si="262"/>
        <v>1.8687079085368818E-2</v>
      </c>
      <c r="U301" s="164">
        <f t="shared" si="262"/>
        <v>1.8687079085368818E-2</v>
      </c>
      <c r="V301" s="164">
        <f t="shared" si="262"/>
        <v>1.8687079085368818E-2</v>
      </c>
      <c r="W301" s="164">
        <f t="shared" si="262"/>
        <v>1.8687079085368818E-2</v>
      </c>
      <c r="X301" s="164">
        <f t="shared" si="262"/>
        <v>1.8687079085368818E-2</v>
      </c>
      <c r="Y301" s="164">
        <f t="shared" si="262"/>
        <v>1.8687079085368818E-2</v>
      </c>
    </row>
    <row r="302" spans="2:27" x14ac:dyDescent="0.25">
      <c r="F302" s="96" t="s">
        <v>199</v>
      </c>
      <c r="G302" s="96" t="s">
        <v>283</v>
      </c>
      <c r="H302" s="91"/>
      <c r="I302" s="91"/>
      <c r="J302" s="174">
        <f t="shared" ref="J302:Y302" si="263">J259 * J$93</f>
        <v>2.5306573288918797E-2</v>
      </c>
      <c r="K302" s="174">
        <f t="shared" si="263"/>
        <v>2.5306573288918797E-2</v>
      </c>
      <c r="L302" s="174">
        <f t="shared" si="263"/>
        <v>2.9067125019141455E-2</v>
      </c>
      <c r="M302" s="174">
        <f t="shared" si="263"/>
        <v>2.9067125019141455E-2</v>
      </c>
      <c r="N302" s="174">
        <f t="shared" si="263"/>
        <v>2.5447939756699491E-2</v>
      </c>
      <c r="O302" s="174">
        <f t="shared" si="263"/>
        <v>2.1550126387532207E-2</v>
      </c>
      <c r="P302" s="174">
        <f t="shared" si="263"/>
        <v>2.1230707387708526E-2</v>
      </c>
      <c r="Q302" s="174">
        <f t="shared" si="263"/>
        <v>2.0439657636968457E-2</v>
      </c>
      <c r="R302" s="174">
        <f t="shared" si="263"/>
        <v>1.8687079085368818E-2</v>
      </c>
      <c r="S302" s="174">
        <f t="shared" si="263"/>
        <v>1.8687079085368818E-2</v>
      </c>
      <c r="T302" s="174">
        <f t="shared" si="263"/>
        <v>1.8687079085368818E-2</v>
      </c>
      <c r="U302" s="174">
        <f t="shared" si="263"/>
        <v>1.8687079085368818E-2</v>
      </c>
      <c r="V302" s="174">
        <f t="shared" si="263"/>
        <v>1.8687079085368818E-2</v>
      </c>
      <c r="W302" s="174">
        <f t="shared" si="263"/>
        <v>1.8687079085368818E-2</v>
      </c>
      <c r="X302" s="174">
        <f t="shared" si="263"/>
        <v>1.8687079085368818E-2</v>
      </c>
      <c r="Y302" s="174">
        <f t="shared" si="263"/>
        <v>1.8687079085368818E-2</v>
      </c>
    </row>
    <row r="304" spans="2:27" x14ac:dyDescent="0.25">
      <c r="B304" s="70" t="s">
        <v>231</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232</v>
      </c>
      <c r="G306" s="6" t="s">
        <v>55</v>
      </c>
      <c r="H306" s="108">
        <f t="array" ref="H306">SUM(IF(ISERROR(H20:Y302), 1))</f>
        <v>0</v>
      </c>
    </row>
    <row r="308" spans="2:27" x14ac:dyDescent="0.25">
      <c r="B308" s="70" t="s">
        <v>106</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488</v>
      </c>
      <c r="D9" s="71"/>
    </row>
    <row r="10" spans="1:43" x14ac:dyDescent="0.25">
      <c r="C10" s="71" t="s">
        <v>489</v>
      </c>
      <c r="D10" s="71"/>
    </row>
    <row r="11" spans="1:43" x14ac:dyDescent="0.25">
      <c r="C11" s="71" t="s">
        <v>490</v>
      </c>
      <c r="D11" s="71"/>
    </row>
    <row r="12" spans="1:43" x14ac:dyDescent="0.25">
      <c r="C12" s="71"/>
      <c r="D12" s="71" t="s">
        <v>491</v>
      </c>
    </row>
    <row r="13" spans="1:43" x14ac:dyDescent="0.25">
      <c r="C13" s="71"/>
      <c r="D13" s="71" t="s">
        <v>492</v>
      </c>
    </row>
    <row r="14" spans="1:43" x14ac:dyDescent="0.25">
      <c r="C14" s="71"/>
      <c r="D14" s="71" t="s">
        <v>493</v>
      </c>
    </row>
    <row r="16" spans="1:43" x14ac:dyDescent="0.25">
      <c r="B16" s="70" t="s">
        <v>494</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495</v>
      </c>
      <c r="AQ20" s="3"/>
    </row>
    <row r="21" spans="3:43" x14ac:dyDescent="0.25">
      <c r="C21" s="60"/>
      <c r="AQ21" s="3"/>
    </row>
    <row r="22" spans="3:43" x14ac:dyDescent="0.25">
      <c r="E22" s="60" t="s">
        <v>377</v>
      </c>
      <c r="H22" s="47"/>
      <c r="J22" s="92"/>
      <c r="L22" s="92"/>
      <c r="AQ22" s="3"/>
    </row>
    <row r="23" spans="3:43" x14ac:dyDescent="0.25">
      <c r="E23" s="60"/>
      <c r="F23" s="90" t="s">
        <v>191</v>
      </c>
      <c r="G23" s="90" t="s">
        <v>167</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192</v>
      </c>
      <c r="G24" t="s">
        <v>167</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193</v>
      </c>
      <c r="G25" t="s">
        <v>167</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194</v>
      </c>
      <c r="G26" t="s">
        <v>167</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195</v>
      </c>
      <c r="G27" t="s">
        <v>167</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196</v>
      </c>
      <c r="G28" t="s">
        <v>167</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197</v>
      </c>
      <c r="G29" t="s">
        <v>167</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198</v>
      </c>
      <c r="G30" t="s">
        <v>167</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199</v>
      </c>
      <c r="G31" s="91" t="s">
        <v>167</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496</v>
      </c>
      <c r="I33" t="s">
        <v>154</v>
      </c>
      <c r="J33" s="92"/>
      <c r="K33" s="92"/>
      <c r="L33" s="92"/>
      <c r="M33" s="92"/>
      <c r="N33" s="92"/>
      <c r="O33" s="92"/>
      <c r="P33" s="92"/>
      <c r="Q33" s="92"/>
      <c r="R33" s="92"/>
      <c r="S33" s="92"/>
      <c r="T33" s="92"/>
      <c r="U33" s="92"/>
      <c r="V33" s="92"/>
      <c r="W33" s="92"/>
      <c r="X33" s="92"/>
      <c r="Y33" s="92"/>
      <c r="AA33" t="s">
        <v>497</v>
      </c>
      <c r="AQ33" s="3"/>
    </row>
    <row r="34" spans="5:43" x14ac:dyDescent="0.25">
      <c r="E34" s="60"/>
      <c r="F34" s="90" t="s">
        <v>191</v>
      </c>
      <c r="G34" s="90" t="s">
        <v>283</v>
      </c>
      <c r="H34" s="222"/>
      <c r="I34" s="222"/>
      <c r="J34" s="167">
        <f t="array" ref="J34:Y42">TRANSPOSE('Load &amp; loss characteristics'!K145:S160)</f>
        <v>1.109</v>
      </c>
      <c r="K34" s="167">
        <v>1.109</v>
      </c>
      <c r="L34" s="167">
        <v>1.109</v>
      </c>
      <c r="M34" s="167">
        <v>1.109</v>
      </c>
      <c r="N34" s="167">
        <v>1.109</v>
      </c>
      <c r="O34" s="167">
        <v>1.044</v>
      </c>
      <c r="P34" s="167">
        <v>1.0249999999999999</v>
      </c>
      <c r="Q34" s="167">
        <v>1.109</v>
      </c>
      <c r="R34" s="167">
        <v>-1.109</v>
      </c>
      <c r="S34" s="167">
        <v>-1.044</v>
      </c>
      <c r="T34" s="167">
        <v>-1.109</v>
      </c>
      <c r="U34" s="167">
        <v>-1.109</v>
      </c>
      <c r="V34" s="167">
        <v>-1.044</v>
      </c>
      <c r="W34" s="167">
        <v>-1.044</v>
      </c>
      <c r="X34" s="167">
        <v>-1.0249999999999999</v>
      </c>
      <c r="Y34" s="167">
        <v>-1.0249999999999999</v>
      </c>
      <c r="AQ34" s="3"/>
    </row>
    <row r="35" spans="5:43" x14ac:dyDescent="0.25">
      <c r="E35" s="60"/>
      <c r="F35" t="s">
        <v>192</v>
      </c>
      <c r="G35" t="s">
        <v>283</v>
      </c>
      <c r="H35" s="101"/>
      <c r="I35" s="101"/>
      <c r="J35" s="163">
        <v>1.109</v>
      </c>
      <c r="K35" s="163">
        <v>1.109</v>
      </c>
      <c r="L35" s="163">
        <v>1.109</v>
      </c>
      <c r="M35" s="163">
        <v>1.109</v>
      </c>
      <c r="N35" s="163">
        <v>1.109</v>
      </c>
      <c r="O35" s="163">
        <v>1.044</v>
      </c>
      <c r="P35" s="163">
        <v>1.0249999999999999</v>
      </c>
      <c r="Q35" s="163">
        <v>1.109</v>
      </c>
      <c r="R35" s="163">
        <v>-1.109</v>
      </c>
      <c r="S35" s="163">
        <v>-1.044</v>
      </c>
      <c r="T35" s="163">
        <v>-1.109</v>
      </c>
      <c r="U35" s="163">
        <v>-1.109</v>
      </c>
      <c r="V35" s="163">
        <v>-1.044</v>
      </c>
      <c r="W35" s="163">
        <v>-1.044</v>
      </c>
      <c r="X35" s="163">
        <v>-1.0249999999999999</v>
      </c>
      <c r="Y35" s="163">
        <v>-1.0249999999999999</v>
      </c>
      <c r="AQ35" s="3"/>
    </row>
    <row r="36" spans="5:43" x14ac:dyDescent="0.25">
      <c r="E36" s="60"/>
      <c r="F36" t="s">
        <v>193</v>
      </c>
      <c r="G36" t="s">
        <v>283</v>
      </c>
      <c r="H36" s="101"/>
      <c r="I36" s="101"/>
      <c r="J36" s="163">
        <v>1.109</v>
      </c>
      <c r="K36" s="163">
        <v>1.109</v>
      </c>
      <c r="L36" s="163">
        <v>1.109</v>
      </c>
      <c r="M36" s="163">
        <v>1.109</v>
      </c>
      <c r="N36" s="163">
        <v>1.109</v>
      </c>
      <c r="O36" s="163">
        <v>1.044</v>
      </c>
      <c r="P36" s="163">
        <v>1.0249999999999999</v>
      </c>
      <c r="Q36" s="163">
        <v>1.109</v>
      </c>
      <c r="R36" s="163">
        <v>-1.109</v>
      </c>
      <c r="S36" s="163">
        <v>-1.044</v>
      </c>
      <c r="T36" s="163">
        <v>-1.109</v>
      </c>
      <c r="U36" s="163">
        <v>-1.109</v>
      </c>
      <c r="V36" s="163">
        <v>-1.044</v>
      </c>
      <c r="W36" s="163">
        <v>-1.044</v>
      </c>
      <c r="X36" s="163">
        <v>-1.0249999999999999</v>
      </c>
      <c r="Y36" s="163">
        <v>-1.0249999999999999</v>
      </c>
      <c r="AQ36" s="3"/>
    </row>
    <row r="37" spans="5:43" x14ac:dyDescent="0.25">
      <c r="E37" s="60"/>
      <c r="F37" t="s">
        <v>194</v>
      </c>
      <c r="G37" t="s">
        <v>283</v>
      </c>
      <c r="H37" s="101"/>
      <c r="I37" s="101"/>
      <c r="J37" s="163">
        <v>1.109</v>
      </c>
      <c r="K37" s="163">
        <v>1.109</v>
      </c>
      <c r="L37" s="163">
        <v>1.109</v>
      </c>
      <c r="M37" s="163">
        <v>1.109</v>
      </c>
      <c r="N37" s="163">
        <v>1.109</v>
      </c>
      <c r="O37" s="163">
        <v>1.044</v>
      </c>
      <c r="P37" s="163">
        <v>1.0249999999999999</v>
      </c>
      <c r="Q37" s="163">
        <v>1.109</v>
      </c>
      <c r="R37" s="163">
        <v>-1.109</v>
      </c>
      <c r="S37" s="163">
        <v>-1.044</v>
      </c>
      <c r="T37" s="163">
        <v>-1.109</v>
      </c>
      <c r="U37" s="163">
        <v>-1.109</v>
      </c>
      <c r="V37" s="163">
        <v>-1.044</v>
      </c>
      <c r="W37" s="163">
        <v>-1.044</v>
      </c>
      <c r="X37" s="163">
        <v>-1.0249999999999999</v>
      </c>
      <c r="Y37" s="163">
        <v>-1.0249999999999999</v>
      </c>
      <c r="AQ37" s="3"/>
    </row>
    <row r="38" spans="5:43" x14ac:dyDescent="0.25">
      <c r="E38" s="60"/>
      <c r="F38" t="s">
        <v>195</v>
      </c>
      <c r="G38" t="s">
        <v>283</v>
      </c>
      <c r="H38" s="101"/>
      <c r="I38" s="101"/>
      <c r="J38" s="163">
        <v>1.109</v>
      </c>
      <c r="K38" s="163">
        <v>1.109</v>
      </c>
      <c r="L38" s="163">
        <v>1.109</v>
      </c>
      <c r="M38" s="163">
        <v>1.109</v>
      </c>
      <c r="N38" s="163">
        <v>1.109</v>
      </c>
      <c r="O38" s="163">
        <v>1.044</v>
      </c>
      <c r="P38" s="163">
        <v>1.0249999999999999</v>
      </c>
      <c r="Q38" s="163">
        <v>1.109</v>
      </c>
      <c r="R38" s="163">
        <v>-1.109</v>
      </c>
      <c r="S38" s="163">
        <v>-1.044</v>
      </c>
      <c r="T38" s="163">
        <v>-1.109</v>
      </c>
      <c r="U38" s="163">
        <v>-1.109</v>
      </c>
      <c r="V38" s="163">
        <v>-1.044</v>
      </c>
      <c r="W38" s="163">
        <v>-1.044</v>
      </c>
      <c r="X38" s="163">
        <v>-1.0249999999999999</v>
      </c>
      <c r="Y38" s="163">
        <v>-1.0249999999999999</v>
      </c>
      <c r="AQ38" s="3"/>
    </row>
    <row r="39" spans="5:43" x14ac:dyDescent="0.25">
      <c r="E39" s="60"/>
      <c r="F39" t="s">
        <v>196</v>
      </c>
      <c r="G39" t="s">
        <v>283</v>
      </c>
      <c r="H39" s="101"/>
      <c r="I39" s="101"/>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c r="AQ39" s="3"/>
    </row>
    <row r="40" spans="5:43" x14ac:dyDescent="0.25">
      <c r="E40" s="60"/>
      <c r="F40" t="s">
        <v>197</v>
      </c>
      <c r="G40" t="s">
        <v>283</v>
      </c>
      <c r="H40" s="101"/>
      <c r="I40" s="101"/>
      <c r="J40" s="163">
        <v>1.109</v>
      </c>
      <c r="K40" s="163">
        <v>1.109</v>
      </c>
      <c r="L40" s="163">
        <v>1.109</v>
      </c>
      <c r="M40" s="163">
        <v>1.109</v>
      </c>
      <c r="N40" s="163">
        <v>1.109</v>
      </c>
      <c r="O40" s="163">
        <v>1.044</v>
      </c>
      <c r="P40" s="163">
        <v>1.0249999999999999</v>
      </c>
      <c r="Q40" s="163">
        <v>1.109</v>
      </c>
      <c r="R40" s="163">
        <v>-1.109</v>
      </c>
      <c r="S40" s="163">
        <v>-1.044</v>
      </c>
      <c r="T40" s="163">
        <v>-1.109</v>
      </c>
      <c r="U40" s="163">
        <v>-1.109</v>
      </c>
      <c r="V40" s="163">
        <v>-1.044</v>
      </c>
      <c r="W40" s="163">
        <v>-1.044</v>
      </c>
      <c r="X40" s="163">
        <v>0</v>
      </c>
      <c r="Y40" s="163">
        <v>0</v>
      </c>
      <c r="AQ40" s="3"/>
    </row>
    <row r="41" spans="5:43" x14ac:dyDescent="0.25">
      <c r="E41" s="60"/>
      <c r="F41" t="s">
        <v>198</v>
      </c>
      <c r="G41" t="s">
        <v>283</v>
      </c>
      <c r="H41" s="101"/>
      <c r="I41" s="101"/>
      <c r="J41" s="163">
        <v>1.109</v>
      </c>
      <c r="K41" s="163">
        <v>1.109</v>
      </c>
      <c r="L41" s="163">
        <v>1.109</v>
      </c>
      <c r="M41" s="163">
        <v>1.109</v>
      </c>
      <c r="N41" s="163">
        <v>1.109</v>
      </c>
      <c r="O41" s="163">
        <v>1.044</v>
      </c>
      <c r="P41" s="163">
        <v>0</v>
      </c>
      <c r="Q41" s="163">
        <v>1.109</v>
      </c>
      <c r="R41" s="163">
        <v>-1.109</v>
      </c>
      <c r="S41" s="163">
        <v>0</v>
      </c>
      <c r="T41" s="163">
        <v>-1.109</v>
      </c>
      <c r="U41" s="163">
        <v>-1.109</v>
      </c>
      <c r="V41" s="163">
        <v>0</v>
      </c>
      <c r="W41" s="163">
        <v>0</v>
      </c>
      <c r="X41" s="163">
        <v>0</v>
      </c>
      <c r="Y41" s="163">
        <v>0</v>
      </c>
      <c r="AQ41" s="3"/>
    </row>
    <row r="42" spans="5:43" x14ac:dyDescent="0.25">
      <c r="E42" s="60"/>
      <c r="F42" s="91" t="s">
        <v>199</v>
      </c>
      <c r="G42" s="91" t="s">
        <v>283</v>
      </c>
      <c r="H42" s="193"/>
      <c r="I42" s="193"/>
      <c r="J42" s="168">
        <v>1.109</v>
      </c>
      <c r="K42" s="168">
        <v>1.109</v>
      </c>
      <c r="L42" s="168">
        <v>1.109</v>
      </c>
      <c r="M42" s="168">
        <v>1.109</v>
      </c>
      <c r="N42" s="168">
        <v>1.109</v>
      </c>
      <c r="O42" s="168">
        <v>0</v>
      </c>
      <c r="P42" s="168">
        <v>0</v>
      </c>
      <c r="Q42" s="168">
        <v>1.109</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498</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191</v>
      </c>
      <c r="G45" s="90" t="s">
        <v>283</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192</v>
      </c>
      <c r="G46" t="s">
        <v>283</v>
      </c>
      <c r="H46" s="163">
        <f>'Load &amp; loss characteristics'!L29</f>
        <v>1</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193</v>
      </c>
      <c r="G47" t="s">
        <v>283</v>
      </c>
      <c r="H47" s="163">
        <f>'Load &amp; loss characteristics'!M29</f>
        <v>1</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194</v>
      </c>
      <c r="G48" t="s">
        <v>283</v>
      </c>
      <c r="H48" s="163">
        <f>'Load &amp; loss characteristics'!N29</f>
        <v>1.0029999999999999</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195</v>
      </c>
      <c r="G49" t="s">
        <v>283</v>
      </c>
      <c r="H49" s="163">
        <f>'Load &amp; loss characteristics'!O29</f>
        <v>1.0129999999999999</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196</v>
      </c>
      <c r="G50" t="s">
        <v>283</v>
      </c>
      <c r="H50" s="163">
        <f>'Load &amp; loss characteristics'!P29</f>
        <v>1.0129999999999999</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197</v>
      </c>
      <c r="G51" t="s">
        <v>283</v>
      </c>
      <c r="H51" s="163">
        <f>'Load &amp; loss characteristics'!Q29</f>
        <v>1.0249999999999999</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198</v>
      </c>
      <c r="G52" t="s">
        <v>283</v>
      </c>
      <c r="H52" s="163">
        <f>'Load &amp; loss characteristics'!R29</f>
        <v>1.044</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199</v>
      </c>
      <c r="G53" s="91" t="s">
        <v>283</v>
      </c>
      <c r="H53" s="168">
        <f>'Load &amp; loss characteristics'!S29</f>
        <v>1.109</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499</v>
      </c>
      <c r="H55" s="101"/>
      <c r="I55" s="101" t="s">
        <v>154</v>
      </c>
      <c r="J55" s="101"/>
      <c r="K55" s="101"/>
      <c r="L55" s="101"/>
      <c r="M55" s="101"/>
      <c r="N55" s="101"/>
      <c r="O55" s="101"/>
      <c r="P55" s="101"/>
      <c r="Q55" s="101"/>
      <c r="R55" s="101"/>
      <c r="S55" s="101"/>
      <c r="T55" s="101"/>
      <c r="U55" s="101"/>
      <c r="V55" s="101"/>
      <c r="W55" s="101"/>
      <c r="X55" s="101"/>
      <c r="Y55" s="101"/>
      <c r="AA55" t="s">
        <v>500</v>
      </c>
    </row>
    <row r="56" spans="2:43" x14ac:dyDescent="0.25">
      <c r="E56" s="60"/>
      <c r="F56" s="90" t="s">
        <v>156</v>
      </c>
      <c r="G56" s="90" t="s">
        <v>207</v>
      </c>
      <c r="H56" s="222"/>
      <c r="I56" s="222"/>
      <c r="J56" s="167">
        <f>'Volume adjustments'!J238</f>
        <v>728623.55510337406</v>
      </c>
      <c r="K56" s="167">
        <f>'Volume adjustments'!K238</f>
        <v>584.41884165229453</v>
      </c>
      <c r="L56" s="167">
        <f>'Volume adjustments'!L238</f>
        <v>191647.83333773396</v>
      </c>
      <c r="M56" s="167">
        <f>'Volume adjustments'!M238</f>
        <v>483.15300000000002</v>
      </c>
      <c r="N56" s="167">
        <f>'Volume adjustments'!N238</f>
        <v>253542.48909705409</v>
      </c>
      <c r="O56" s="167">
        <f>'Volume adjustments'!O238</f>
        <v>27035.930895394442</v>
      </c>
      <c r="P56" s="167">
        <f>'Volume adjustments'!P238</f>
        <v>304152.88104155735</v>
      </c>
      <c r="Q56" s="167">
        <f>'Volume adjustments'!Q238</f>
        <v>10432.607991329018</v>
      </c>
      <c r="R56" s="167">
        <f>'Volume adjustments'!R238</f>
        <v>13715.66896284854</v>
      </c>
      <c r="S56" s="167">
        <f>'Volume adjustments'!S238</f>
        <v>52.1242510546167</v>
      </c>
      <c r="T56" s="167">
        <f>'Volume adjustments'!T238</f>
        <v>5844.5739999999987</v>
      </c>
      <c r="U56" s="167">
        <f>'Volume adjustments'!U238</f>
        <v>0</v>
      </c>
      <c r="V56" s="167">
        <f>'Volume adjustments'!V238</f>
        <v>64.59099999999998</v>
      </c>
      <c r="W56" s="167">
        <f>'Volume adjustments'!W238</f>
        <v>0</v>
      </c>
      <c r="X56" s="167">
        <f>'Volume adjustments'!X238</f>
        <v>115415.10300000002</v>
      </c>
      <c r="Y56" s="167">
        <f>'Volume adjustments'!Y238</f>
        <v>0</v>
      </c>
      <c r="AQ56" s="3"/>
    </row>
    <row r="57" spans="2:43" x14ac:dyDescent="0.25">
      <c r="E57" s="60"/>
      <c r="F57" t="s">
        <v>157</v>
      </c>
      <c r="G57" t="s">
        <v>207</v>
      </c>
      <c r="H57" s="101"/>
      <c r="I57" s="101"/>
      <c r="J57" s="163">
        <f>'Volume adjustments'!J249</f>
        <v>2538014.9194967723</v>
      </c>
      <c r="K57" s="163">
        <f>'Volume adjustments'!K249</f>
        <v>16256.552449380286</v>
      </c>
      <c r="L57" s="163">
        <f>'Volume adjustments'!L249</f>
        <v>994278.62468508841</v>
      </c>
      <c r="M57" s="163">
        <f>'Volume adjustments'!M249</f>
        <v>7645.8209999999999</v>
      </c>
      <c r="N57" s="163">
        <f>'Volume adjustments'!N249</f>
        <v>1218235.1326339836</v>
      </c>
      <c r="O57" s="163">
        <f>'Volume adjustments'!O249</f>
        <v>125880.78342208984</v>
      </c>
      <c r="P57" s="163">
        <f>'Volume adjustments'!P249</f>
        <v>1419771.6743750547</v>
      </c>
      <c r="Q57" s="163">
        <f>'Volume adjustments'!Q249</f>
        <v>61266.868596538225</v>
      </c>
      <c r="R57" s="163">
        <f>'Volume adjustments'!R249</f>
        <v>74880.496412313048</v>
      </c>
      <c r="S57" s="163">
        <f>'Volume adjustments'!S249</f>
        <v>227.37680998266927</v>
      </c>
      <c r="T57" s="163">
        <f>'Volume adjustments'!T249</f>
        <v>27694.664000000004</v>
      </c>
      <c r="U57" s="163">
        <f>'Volume adjustments'!U249</f>
        <v>0</v>
      </c>
      <c r="V57" s="163">
        <f>'Volume adjustments'!V249</f>
        <v>326.78199999999998</v>
      </c>
      <c r="W57" s="163">
        <f>'Volume adjustments'!W249</f>
        <v>0</v>
      </c>
      <c r="X57" s="163">
        <f>'Volume adjustments'!X249</f>
        <v>421753.54499999998</v>
      </c>
      <c r="Y57" s="163">
        <f>'Volume adjustments'!Y249</f>
        <v>0</v>
      </c>
      <c r="AQ57" s="3"/>
    </row>
    <row r="58" spans="2:43" x14ac:dyDescent="0.25">
      <c r="E58" s="60"/>
      <c r="F58" s="91" t="s">
        <v>158</v>
      </c>
      <c r="G58" s="91" t="s">
        <v>207</v>
      </c>
      <c r="H58" s="193"/>
      <c r="I58" s="193"/>
      <c r="J58" s="168">
        <f>'Volume adjustments'!J260</f>
        <v>2426681.8099287972</v>
      </c>
      <c r="K58" s="168">
        <f>'Volume adjustments'!K260</f>
        <v>163502.90873996823</v>
      </c>
      <c r="L58" s="168">
        <f>'Volume adjustments'!L260</f>
        <v>822090.85772019741</v>
      </c>
      <c r="M58" s="168">
        <f>'Volume adjustments'!M260</f>
        <v>33432.284</v>
      </c>
      <c r="N58" s="168">
        <f>'Volume adjustments'!N260</f>
        <v>1084036.7091787858</v>
      </c>
      <c r="O58" s="168">
        <f>'Volume adjustments'!O260</f>
        <v>127595.88908236986</v>
      </c>
      <c r="P58" s="168">
        <f>'Volume adjustments'!P260</f>
        <v>1563476.3053041713</v>
      </c>
      <c r="Q58" s="168">
        <f>'Volume adjustments'!Q260</f>
        <v>139201.6946331106</v>
      </c>
      <c r="R58" s="168">
        <f>'Volume adjustments'!R260</f>
        <v>34204.372287182821</v>
      </c>
      <c r="S58" s="168">
        <f>'Volume adjustments'!S260</f>
        <v>201.46913946310823</v>
      </c>
      <c r="T58" s="168">
        <f>'Volume adjustments'!T260</f>
        <v>29331.213000000003</v>
      </c>
      <c r="U58" s="168">
        <f>'Volume adjustments'!U260</f>
        <v>0</v>
      </c>
      <c r="V58" s="168">
        <f>'Volume adjustments'!V260</f>
        <v>309.74</v>
      </c>
      <c r="W58" s="168">
        <f>'Volume adjustments'!W260</f>
        <v>0</v>
      </c>
      <c r="X58" s="168">
        <f>'Volume adjustments'!X260</f>
        <v>491598.924</v>
      </c>
      <c r="Y58" s="168">
        <f>'Volume adjustments'!Y260</f>
        <v>0</v>
      </c>
      <c r="AQ58" s="3"/>
    </row>
    <row r="59" spans="2:43" x14ac:dyDescent="0.25">
      <c r="E59" s="60"/>
      <c r="F59" s="151" t="s">
        <v>501</v>
      </c>
      <c r="G59" s="151" t="s">
        <v>207</v>
      </c>
      <c r="H59" s="227"/>
      <c r="I59" s="227"/>
      <c r="J59" s="227">
        <f t="shared" ref="J59:Y59" si="0">SUM(J56:J58)</f>
        <v>5693320.2845289437</v>
      </c>
      <c r="K59" s="227">
        <f t="shared" si="0"/>
        <v>180343.88003100082</v>
      </c>
      <c r="L59" s="227">
        <f t="shared" si="0"/>
        <v>2008017.3157430198</v>
      </c>
      <c r="M59" s="227">
        <f t="shared" si="0"/>
        <v>41561.258000000002</v>
      </c>
      <c r="N59" s="227">
        <f t="shared" si="0"/>
        <v>2555814.3309098235</v>
      </c>
      <c r="O59" s="227">
        <f t="shared" si="0"/>
        <v>280512.60339985415</v>
      </c>
      <c r="P59" s="227">
        <f t="shared" si="0"/>
        <v>3287400.8607207835</v>
      </c>
      <c r="Q59" s="227">
        <f t="shared" si="0"/>
        <v>210901.17122097785</v>
      </c>
      <c r="R59" s="227">
        <f t="shared" si="0"/>
        <v>122800.53766234442</v>
      </c>
      <c r="S59" s="227">
        <f t="shared" si="0"/>
        <v>480.97020050039418</v>
      </c>
      <c r="T59" s="227">
        <f t="shared" si="0"/>
        <v>62870.451000000008</v>
      </c>
      <c r="U59" s="227">
        <f t="shared" si="0"/>
        <v>0</v>
      </c>
      <c r="V59" s="227">
        <f t="shared" si="0"/>
        <v>701.11299999999994</v>
      </c>
      <c r="W59" s="227">
        <f t="shared" si="0"/>
        <v>0</v>
      </c>
      <c r="X59" s="227">
        <f t="shared" si="0"/>
        <v>1028767.572</v>
      </c>
      <c r="Y59" s="227">
        <f t="shared" si="0"/>
        <v>0</v>
      </c>
      <c r="AQ59" s="3"/>
    </row>
    <row r="60" spans="2:43" x14ac:dyDescent="0.25">
      <c r="D60" s="60"/>
      <c r="J60" s="92"/>
      <c r="L60" s="92"/>
      <c r="AQ60" s="3"/>
    </row>
    <row r="61" spans="2:43" x14ac:dyDescent="0.25">
      <c r="C61" s="60"/>
      <c r="E61" s="89" t="s">
        <v>241</v>
      </c>
      <c r="F61" s="89"/>
      <c r="G61" s="89" t="s">
        <v>167</v>
      </c>
      <c r="I61" t="s">
        <v>154</v>
      </c>
      <c r="J61" s="150">
        <f>'Inputs by customer type'!J15</f>
        <v>0.45400000000000001</v>
      </c>
      <c r="K61" s="150">
        <f>'Inputs by customer type'!K15</f>
        <v>8.6333333333333331E-2</v>
      </c>
      <c r="L61" s="150">
        <f>'Inputs by customer type'!L15</f>
        <v>0.41799999999999998</v>
      </c>
      <c r="M61" s="150">
        <f>'Inputs by customer type'!M15</f>
        <v>0.28733333333333338</v>
      </c>
      <c r="N61" s="150">
        <f>'Inputs by customer type'!N15</f>
        <v>0.54166666666666663</v>
      </c>
      <c r="O61" s="150">
        <f>'Inputs by customer type'!O15</f>
        <v>0.67766666666666664</v>
      </c>
      <c r="P61" s="150">
        <f>'Inputs by customer type'!P15</f>
        <v>0.73866666666666658</v>
      </c>
      <c r="Q61" s="150">
        <f>'Inputs by customer type'!Q15</f>
        <v>0.48833333333333329</v>
      </c>
      <c r="R61" s="98"/>
      <c r="S61" s="98"/>
      <c r="T61" s="98"/>
      <c r="U61" s="98"/>
      <c r="V61" s="98"/>
      <c r="W61" s="98"/>
      <c r="X61" s="98"/>
      <c r="Y61" s="98"/>
      <c r="AA61" t="s">
        <v>502</v>
      </c>
      <c r="AQ61" s="3"/>
    </row>
    <row r="63" spans="2:43" x14ac:dyDescent="0.25">
      <c r="B63" s="70" t="s">
        <v>503</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504</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505</v>
      </c>
      <c r="J69" s="92"/>
      <c r="L69" s="92"/>
      <c r="AQ69" s="3"/>
    </row>
    <row r="70" spans="3:43" x14ac:dyDescent="0.25">
      <c r="E70" s="60"/>
      <c r="F70" s="90" t="s">
        <v>191</v>
      </c>
      <c r="G70" s="90" t="s">
        <v>283</v>
      </c>
      <c r="H70" s="90"/>
      <c r="I70" s="90"/>
      <c r="J70" s="167">
        <f>'Pseudo-load coefficients'!J272</f>
        <v>11.415202824166641</v>
      </c>
      <c r="K70" s="167">
        <f>'Pseudo-load coefficients'!K272</f>
        <v>11.415202824166641</v>
      </c>
      <c r="L70" s="167">
        <f>'Pseudo-load coefficients'!L272</f>
        <v>13.111499681159897</v>
      </c>
      <c r="M70" s="167">
        <f>'Pseudo-load coefficients'!M272</f>
        <v>13.111499681159897</v>
      </c>
      <c r="N70" s="167">
        <f>'Pseudo-load coefficients'!N272</f>
        <v>11.478969928619271</v>
      </c>
      <c r="O70" s="167">
        <f>'Pseudo-load coefficients'!O272</f>
        <v>9.7207575593738476</v>
      </c>
      <c r="P70" s="167">
        <f>'Pseudo-load coefficients'!P272</f>
        <v>9.5766751256420406</v>
      </c>
      <c r="Q70" s="167">
        <f>'Pseudo-load coefficients'!Q272</f>
        <v>26.282331373304242</v>
      </c>
      <c r="R70" s="167">
        <f>'Pseudo-load coefficients'!R272</f>
        <v>8.4293039407328347</v>
      </c>
      <c r="S70" s="167">
        <f>'Pseudo-load coefficients'!S272</f>
        <v>8.4293039407328347</v>
      </c>
      <c r="T70" s="167">
        <f>'Pseudo-load coefficients'!T272</f>
        <v>8.4293039407328347</v>
      </c>
      <c r="U70" s="167">
        <f>'Pseudo-load coefficients'!U272</f>
        <v>8.4293039407328347</v>
      </c>
      <c r="V70" s="167">
        <f>'Pseudo-load coefficients'!V272</f>
        <v>8.4293039407328347</v>
      </c>
      <c r="W70" s="167">
        <f>'Pseudo-load coefficients'!W272</f>
        <v>8.4293039407328347</v>
      </c>
      <c r="X70" s="167">
        <f>'Pseudo-load coefficients'!X272</f>
        <v>8.4293039407328347</v>
      </c>
      <c r="Y70" s="167">
        <f>'Pseudo-load coefficients'!Y272</f>
        <v>8.4293039407328347</v>
      </c>
      <c r="AQ70" s="3"/>
    </row>
    <row r="71" spans="3:43" x14ac:dyDescent="0.25">
      <c r="E71" s="60"/>
      <c r="F71" t="s">
        <v>192</v>
      </c>
      <c r="G71" t="s">
        <v>283</v>
      </c>
      <c r="J71" s="163">
        <f>'Pseudo-load coefficients'!J273</f>
        <v>0</v>
      </c>
      <c r="K71" s="163">
        <f>'Pseudo-load coefficients'!K273</f>
        <v>0</v>
      </c>
      <c r="L71" s="163">
        <f>'Pseudo-load coefficients'!L273</f>
        <v>0</v>
      </c>
      <c r="M71" s="163">
        <f>'Pseudo-load coefficients'!M273</f>
        <v>0</v>
      </c>
      <c r="N71" s="163">
        <f>'Pseudo-load coefficients'!N273</f>
        <v>0</v>
      </c>
      <c r="O71" s="163">
        <f>'Pseudo-load coefficients'!O273</f>
        <v>0</v>
      </c>
      <c r="P71" s="163">
        <f>'Pseudo-load coefficients'!P273</f>
        <v>0</v>
      </c>
      <c r="Q71" s="163">
        <f>'Pseudo-load coefficients'!Q273</f>
        <v>0</v>
      </c>
      <c r="R71" s="163">
        <f>'Pseudo-load coefficients'!R273</f>
        <v>0</v>
      </c>
      <c r="S71" s="163">
        <f>'Pseudo-load coefficients'!S273</f>
        <v>0</v>
      </c>
      <c r="T71" s="163">
        <f>'Pseudo-load coefficients'!T273</f>
        <v>0</v>
      </c>
      <c r="U71" s="163">
        <f>'Pseudo-load coefficients'!U273</f>
        <v>0</v>
      </c>
      <c r="V71" s="163">
        <f>'Pseudo-load coefficients'!V273</f>
        <v>0</v>
      </c>
      <c r="W71" s="163">
        <f>'Pseudo-load coefficients'!W273</f>
        <v>0</v>
      </c>
      <c r="X71" s="163">
        <f>'Pseudo-load coefficients'!X273</f>
        <v>0</v>
      </c>
      <c r="Y71" s="163">
        <f>'Pseudo-load coefficients'!Y273</f>
        <v>0</v>
      </c>
      <c r="AQ71" s="3"/>
    </row>
    <row r="72" spans="3:43" x14ac:dyDescent="0.25">
      <c r="E72" s="60"/>
      <c r="F72" t="s">
        <v>193</v>
      </c>
      <c r="G72" t="s">
        <v>283</v>
      </c>
      <c r="J72" s="163">
        <f>'Pseudo-load coefficients'!J274</f>
        <v>0</v>
      </c>
      <c r="K72" s="163">
        <f>'Pseudo-load coefficients'!K274</f>
        <v>0</v>
      </c>
      <c r="L72" s="163">
        <f>'Pseudo-load coefficients'!L274</f>
        <v>0</v>
      </c>
      <c r="M72" s="163">
        <f>'Pseudo-load coefficients'!M274</f>
        <v>0</v>
      </c>
      <c r="N72" s="163">
        <f>'Pseudo-load coefficients'!N274</f>
        <v>0</v>
      </c>
      <c r="O72" s="163">
        <f>'Pseudo-load coefficients'!O274</f>
        <v>0</v>
      </c>
      <c r="P72" s="163">
        <f>'Pseudo-load coefficients'!P274</f>
        <v>0</v>
      </c>
      <c r="Q72" s="163">
        <f>'Pseudo-load coefficients'!Q274</f>
        <v>0</v>
      </c>
      <c r="R72" s="163">
        <f>'Pseudo-load coefficients'!R274</f>
        <v>0</v>
      </c>
      <c r="S72" s="163">
        <f>'Pseudo-load coefficients'!S274</f>
        <v>0</v>
      </c>
      <c r="T72" s="163">
        <f>'Pseudo-load coefficients'!T274</f>
        <v>0</v>
      </c>
      <c r="U72" s="163">
        <f>'Pseudo-load coefficients'!U274</f>
        <v>0</v>
      </c>
      <c r="V72" s="163">
        <f>'Pseudo-load coefficients'!V274</f>
        <v>0</v>
      </c>
      <c r="W72" s="163">
        <f>'Pseudo-load coefficients'!W274</f>
        <v>0</v>
      </c>
      <c r="X72" s="163">
        <f>'Pseudo-load coefficients'!X274</f>
        <v>0</v>
      </c>
      <c r="Y72" s="163">
        <f>'Pseudo-load coefficients'!Y274</f>
        <v>0</v>
      </c>
      <c r="AQ72" s="3"/>
    </row>
    <row r="73" spans="3:43" x14ac:dyDescent="0.25">
      <c r="E73" s="60"/>
      <c r="F73" t="s">
        <v>194</v>
      </c>
      <c r="G73" t="s">
        <v>283</v>
      </c>
      <c r="J73" s="163">
        <f>'Pseudo-load coefficients'!J275</f>
        <v>11.415202824166641</v>
      </c>
      <c r="K73" s="163">
        <f>'Pseudo-load coefficients'!K275</f>
        <v>11.415202824166641</v>
      </c>
      <c r="L73" s="163">
        <f>'Pseudo-load coefficients'!L275</f>
        <v>13.111499681159897</v>
      </c>
      <c r="M73" s="163">
        <f>'Pseudo-load coefficients'!M275</f>
        <v>13.111499681159897</v>
      </c>
      <c r="N73" s="163">
        <f>'Pseudo-load coefficients'!N275</f>
        <v>11.478969928619271</v>
      </c>
      <c r="O73" s="163">
        <f>'Pseudo-load coefficients'!O275</f>
        <v>9.7207575593738476</v>
      </c>
      <c r="P73" s="163">
        <f>'Pseudo-load coefficients'!P275</f>
        <v>9.5766751256420406</v>
      </c>
      <c r="Q73" s="163">
        <f>'Pseudo-load coefficients'!Q275</f>
        <v>26.282331373304242</v>
      </c>
      <c r="R73" s="163">
        <f>'Pseudo-load coefficients'!R275</f>
        <v>8.4293039407328347</v>
      </c>
      <c r="S73" s="163">
        <f>'Pseudo-load coefficients'!S275</f>
        <v>8.4293039407328347</v>
      </c>
      <c r="T73" s="163">
        <f>'Pseudo-load coefficients'!T275</f>
        <v>8.4293039407328347</v>
      </c>
      <c r="U73" s="163">
        <f>'Pseudo-load coefficients'!U275</f>
        <v>8.4293039407328347</v>
      </c>
      <c r="V73" s="163">
        <f>'Pseudo-load coefficients'!V275</f>
        <v>8.4293039407328347</v>
      </c>
      <c r="W73" s="163">
        <f>'Pseudo-load coefficients'!W275</f>
        <v>8.4293039407328347</v>
      </c>
      <c r="X73" s="163">
        <f>'Pseudo-load coefficients'!X275</f>
        <v>8.4293039407328347</v>
      </c>
      <c r="Y73" s="163">
        <f>'Pseudo-load coefficients'!Y275</f>
        <v>8.4293039407328347</v>
      </c>
      <c r="AQ73" s="3"/>
    </row>
    <row r="74" spans="3:43" x14ac:dyDescent="0.25">
      <c r="E74" s="60"/>
      <c r="F74" t="s">
        <v>195</v>
      </c>
      <c r="G74" t="s">
        <v>283</v>
      </c>
      <c r="J74" s="163">
        <f>'Pseudo-load coefficients'!J276</f>
        <v>9.1588889219841825</v>
      </c>
      <c r="K74" s="163">
        <f>'Pseudo-load coefficients'!K276</f>
        <v>9.1588889219841825</v>
      </c>
      <c r="L74" s="163">
        <f>'Pseudo-load coefficients'!L276</f>
        <v>10.519897984304222</v>
      </c>
      <c r="M74" s="163">
        <f>'Pseudo-load coefficients'!M276</f>
        <v>10.519897984304222</v>
      </c>
      <c r="N74" s="163">
        <f>'Pseudo-load coefficients'!N276</f>
        <v>9.2100519048548648</v>
      </c>
      <c r="O74" s="163">
        <f>'Pseudo-load coefficients'!O276</f>
        <v>7.7993654685976024</v>
      </c>
      <c r="P74" s="163">
        <f>'Pseudo-load coefficients'!P276</f>
        <v>7.683762178276293</v>
      </c>
      <c r="Q74" s="163">
        <f>'Pseudo-load coefficients'!Q276</f>
        <v>21.824452608599437</v>
      </c>
      <c r="R74" s="163">
        <f>'Pseudo-load coefficients'!R276</f>
        <v>6.7631788652385794</v>
      </c>
      <c r="S74" s="163">
        <f>'Pseudo-load coefficients'!S276</f>
        <v>6.7631788652385794</v>
      </c>
      <c r="T74" s="163">
        <f>'Pseudo-load coefficients'!T276</f>
        <v>6.7631788652385794</v>
      </c>
      <c r="U74" s="163">
        <f>'Pseudo-load coefficients'!U276</f>
        <v>6.7631788652385794</v>
      </c>
      <c r="V74" s="163">
        <f>'Pseudo-load coefficients'!V276</f>
        <v>6.7631788652385794</v>
      </c>
      <c r="W74" s="163">
        <f>'Pseudo-load coefficients'!W276</f>
        <v>6.7631788652385794</v>
      </c>
      <c r="X74" s="163">
        <f>'Pseudo-load coefficients'!X276</f>
        <v>6.7631788652385794</v>
      </c>
      <c r="Y74" s="163">
        <f>'Pseudo-load coefficients'!Y276</f>
        <v>6.7631788652385794</v>
      </c>
      <c r="AQ74" s="3"/>
    </row>
    <row r="75" spans="3:43" x14ac:dyDescent="0.25">
      <c r="E75" s="60"/>
      <c r="F75" t="s">
        <v>196</v>
      </c>
      <c r="G75" t="s">
        <v>283</v>
      </c>
      <c r="J75" s="163">
        <f>'Pseudo-load coefficients'!J277</f>
        <v>0</v>
      </c>
      <c r="K75" s="163">
        <f>'Pseudo-load coefficients'!K277</f>
        <v>0</v>
      </c>
      <c r="L75" s="163">
        <f>'Pseudo-load coefficients'!L277</f>
        <v>0</v>
      </c>
      <c r="M75" s="163">
        <f>'Pseudo-load coefficients'!M277</f>
        <v>0</v>
      </c>
      <c r="N75" s="163">
        <f>'Pseudo-load coefficients'!N277</f>
        <v>0</v>
      </c>
      <c r="O75" s="163">
        <f>'Pseudo-load coefficients'!O277</f>
        <v>0</v>
      </c>
      <c r="P75" s="163">
        <f>'Pseudo-load coefficients'!P277</f>
        <v>0</v>
      </c>
      <c r="Q75" s="163">
        <f>'Pseudo-load coefficients'!Q277</f>
        <v>0</v>
      </c>
      <c r="R75" s="163">
        <f>'Pseudo-load coefficients'!R277</f>
        <v>0</v>
      </c>
      <c r="S75" s="163">
        <f>'Pseudo-load coefficients'!S277</f>
        <v>0</v>
      </c>
      <c r="T75" s="163">
        <f>'Pseudo-load coefficients'!T277</f>
        <v>0</v>
      </c>
      <c r="U75" s="163">
        <f>'Pseudo-load coefficients'!U277</f>
        <v>0</v>
      </c>
      <c r="V75" s="163">
        <f>'Pseudo-load coefficients'!V277</f>
        <v>0</v>
      </c>
      <c r="W75" s="163">
        <f>'Pseudo-load coefficients'!W277</f>
        <v>0</v>
      </c>
      <c r="X75" s="163">
        <f>'Pseudo-load coefficients'!X277</f>
        <v>0</v>
      </c>
      <c r="Y75" s="163">
        <f>'Pseudo-load coefficients'!Y277</f>
        <v>0</v>
      </c>
      <c r="AQ75" s="3"/>
    </row>
    <row r="76" spans="3:43" x14ac:dyDescent="0.25">
      <c r="E76" s="60"/>
      <c r="F76" t="s">
        <v>197</v>
      </c>
      <c r="G76" t="s">
        <v>283</v>
      </c>
      <c r="J76" s="163">
        <f>'Pseudo-load coefficients'!J278</f>
        <v>9.1588889219841825</v>
      </c>
      <c r="K76" s="163">
        <f>'Pseudo-load coefficients'!K278</f>
        <v>9.1588889219841825</v>
      </c>
      <c r="L76" s="163">
        <f>'Pseudo-load coefficients'!L278</f>
        <v>10.519897984304222</v>
      </c>
      <c r="M76" s="163">
        <f>'Pseudo-load coefficients'!M278</f>
        <v>10.519897984304222</v>
      </c>
      <c r="N76" s="163">
        <f>'Pseudo-load coefficients'!N278</f>
        <v>9.2100519048548648</v>
      </c>
      <c r="O76" s="163">
        <f>'Pseudo-load coefficients'!O278</f>
        <v>7.7993654685976024</v>
      </c>
      <c r="P76" s="163">
        <f>'Pseudo-load coefficients'!P278</f>
        <v>7.683762178276293</v>
      </c>
      <c r="Q76" s="163">
        <f>'Pseudo-load coefficients'!Q278</f>
        <v>21.824452608599437</v>
      </c>
      <c r="R76" s="163">
        <f>'Pseudo-load coefficients'!R278</f>
        <v>6.7631788652385794</v>
      </c>
      <c r="S76" s="163">
        <f>'Pseudo-load coefficients'!S278</f>
        <v>6.7631788652385794</v>
      </c>
      <c r="T76" s="163">
        <f>'Pseudo-load coefficients'!T278</f>
        <v>6.7631788652385794</v>
      </c>
      <c r="U76" s="163">
        <f>'Pseudo-load coefficients'!U278</f>
        <v>6.7631788652385794</v>
      </c>
      <c r="V76" s="163">
        <f>'Pseudo-load coefficients'!V278</f>
        <v>6.7631788652385794</v>
      </c>
      <c r="W76" s="163">
        <f>'Pseudo-load coefficients'!W278</f>
        <v>6.7631788652385794</v>
      </c>
      <c r="X76" s="163">
        <f>'Pseudo-load coefficients'!X278</f>
        <v>6.7631788652385794</v>
      </c>
      <c r="Y76" s="163">
        <f>'Pseudo-load coefficients'!Y278</f>
        <v>6.7631788652385794</v>
      </c>
      <c r="AQ76" s="3"/>
    </row>
    <row r="77" spans="3:43" x14ac:dyDescent="0.25">
      <c r="E77" s="60"/>
      <c r="F77" t="s">
        <v>198</v>
      </c>
      <c r="G77" t="s">
        <v>283</v>
      </c>
      <c r="J77" s="163">
        <f>'Pseudo-load coefficients'!J279</f>
        <v>9.1588889219841825</v>
      </c>
      <c r="K77" s="163">
        <f>'Pseudo-load coefficients'!K279</f>
        <v>9.1588889219841825</v>
      </c>
      <c r="L77" s="163">
        <f>'Pseudo-load coefficients'!L279</f>
        <v>10.519897984304222</v>
      </c>
      <c r="M77" s="163">
        <f>'Pseudo-load coefficients'!M279</f>
        <v>10.519897984304222</v>
      </c>
      <c r="N77" s="163">
        <f>'Pseudo-load coefficients'!N279</f>
        <v>9.2100519048548648</v>
      </c>
      <c r="O77" s="163">
        <f>'Pseudo-load coefficients'!O279</f>
        <v>7.7993654685976024</v>
      </c>
      <c r="P77" s="163">
        <f>'Pseudo-load coefficients'!P279</f>
        <v>7.683762178276293</v>
      </c>
      <c r="Q77" s="163">
        <f>'Pseudo-load coefficients'!Q279</f>
        <v>21.824452608599437</v>
      </c>
      <c r="R77" s="163">
        <f>'Pseudo-load coefficients'!R279</f>
        <v>6.7631788652385794</v>
      </c>
      <c r="S77" s="163">
        <f>'Pseudo-load coefficients'!S279</f>
        <v>6.7631788652385794</v>
      </c>
      <c r="T77" s="163">
        <f>'Pseudo-load coefficients'!T279</f>
        <v>6.7631788652385794</v>
      </c>
      <c r="U77" s="163">
        <f>'Pseudo-load coefficients'!U279</f>
        <v>6.7631788652385794</v>
      </c>
      <c r="V77" s="163">
        <f>'Pseudo-load coefficients'!V279</f>
        <v>6.7631788652385794</v>
      </c>
      <c r="W77" s="163">
        <f>'Pseudo-load coefficients'!W279</f>
        <v>6.7631788652385794</v>
      </c>
      <c r="X77" s="163">
        <f>'Pseudo-load coefficients'!X279</f>
        <v>6.7631788652385794</v>
      </c>
      <c r="Y77" s="163">
        <f>'Pseudo-load coefficients'!Y279</f>
        <v>6.7631788652385794</v>
      </c>
      <c r="AQ77" s="3"/>
    </row>
    <row r="78" spans="3:43" x14ac:dyDescent="0.25">
      <c r="E78" s="60"/>
      <c r="F78" s="91" t="s">
        <v>199</v>
      </c>
      <c r="G78" s="91" t="s">
        <v>283</v>
      </c>
      <c r="H78" s="91"/>
      <c r="I78" s="91"/>
      <c r="J78" s="168">
        <f>'Pseudo-load coefficients'!J280</f>
        <v>9.1588889219841825</v>
      </c>
      <c r="K78" s="168">
        <f>'Pseudo-load coefficients'!K280</f>
        <v>9.1588889219841825</v>
      </c>
      <c r="L78" s="168">
        <f>'Pseudo-load coefficients'!L280</f>
        <v>10.519897984304222</v>
      </c>
      <c r="M78" s="168">
        <f>'Pseudo-load coefficients'!M280</f>
        <v>10.519897984304222</v>
      </c>
      <c r="N78" s="168">
        <f>'Pseudo-load coefficients'!N280</f>
        <v>9.2100519048548648</v>
      </c>
      <c r="O78" s="168">
        <f>'Pseudo-load coefficients'!O280</f>
        <v>7.7993654685976024</v>
      </c>
      <c r="P78" s="168">
        <f>'Pseudo-load coefficients'!P280</f>
        <v>7.683762178276293</v>
      </c>
      <c r="Q78" s="168">
        <f>'Pseudo-load coefficients'!Q280</f>
        <v>21.824452608599437</v>
      </c>
      <c r="R78" s="168">
        <f>'Pseudo-load coefficients'!R280</f>
        <v>6.7631788652385794</v>
      </c>
      <c r="S78" s="168">
        <f>'Pseudo-load coefficients'!S280</f>
        <v>6.7631788652385794</v>
      </c>
      <c r="T78" s="168">
        <f>'Pseudo-load coefficients'!T280</f>
        <v>6.7631788652385794</v>
      </c>
      <c r="U78" s="168">
        <f>'Pseudo-load coefficients'!U280</f>
        <v>6.7631788652385794</v>
      </c>
      <c r="V78" s="168">
        <f>'Pseudo-load coefficients'!V280</f>
        <v>6.7631788652385794</v>
      </c>
      <c r="W78" s="168">
        <f>'Pseudo-load coefficients'!W280</f>
        <v>6.7631788652385794</v>
      </c>
      <c r="X78" s="168">
        <f>'Pseudo-load coefficients'!X280</f>
        <v>6.7631788652385794</v>
      </c>
      <c r="Y78" s="168">
        <f>'Pseudo-load coefficients'!Y280</f>
        <v>6.7631788652385794</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506</v>
      </c>
      <c r="J80" s="101"/>
      <c r="K80" s="101"/>
      <c r="L80" s="101"/>
      <c r="M80" s="101"/>
      <c r="N80" s="101"/>
      <c r="O80" s="101"/>
      <c r="P80" s="101"/>
      <c r="Q80" s="101"/>
      <c r="R80" s="101"/>
      <c r="S80" s="101"/>
      <c r="T80" s="101"/>
      <c r="U80" s="101"/>
      <c r="V80" s="101"/>
      <c r="W80" s="101"/>
      <c r="X80" s="101"/>
      <c r="Y80" s="101"/>
      <c r="AQ80" s="3"/>
    </row>
    <row r="81" spans="5:43" x14ac:dyDescent="0.25">
      <c r="E81" s="71" t="s">
        <v>507</v>
      </c>
      <c r="J81" s="101"/>
      <c r="K81" s="101"/>
      <c r="L81" s="101"/>
      <c r="M81" s="101"/>
      <c r="N81" s="101"/>
      <c r="O81" s="101"/>
      <c r="P81" s="101"/>
      <c r="Q81" s="101"/>
      <c r="R81" s="101"/>
      <c r="S81" s="101"/>
      <c r="T81" s="101"/>
      <c r="U81" s="101"/>
      <c r="V81" s="101"/>
      <c r="W81" s="101"/>
      <c r="X81" s="101"/>
      <c r="Y81" s="101"/>
      <c r="AQ81" s="3"/>
    </row>
    <row r="82" spans="5:43" x14ac:dyDescent="0.25">
      <c r="E82" s="60"/>
      <c r="F82" s="90" t="s">
        <v>191</v>
      </c>
      <c r="G82" s="90" t="s">
        <v>172</v>
      </c>
      <c r="H82" s="90"/>
      <c r="I82" s="90"/>
      <c r="J82" s="222">
        <f t="shared" ref="J82:Y82" si="1">J$56 * J34 * J70 / hours_in_year / $H45</f>
        <v>1052.9658334866601</v>
      </c>
      <c r="K82" s="222">
        <f t="shared" si="1"/>
        <v>0.84456928189538194</v>
      </c>
      <c r="L82" s="222">
        <f t="shared" si="1"/>
        <v>318.11468845025985</v>
      </c>
      <c r="M82" s="222">
        <f t="shared" si="1"/>
        <v>0.80198175680886485</v>
      </c>
      <c r="N82" s="222">
        <f t="shared" si="1"/>
        <v>368.45216075814506</v>
      </c>
      <c r="O82" s="222">
        <f t="shared" si="1"/>
        <v>31.321159558180771</v>
      </c>
      <c r="P82" s="222">
        <f t="shared" si="1"/>
        <v>340.82108031045897</v>
      </c>
      <c r="Q82" s="222">
        <f t="shared" si="1"/>
        <v>34.71236594638394</v>
      </c>
      <c r="R82" s="222">
        <f t="shared" si="1"/>
        <v>-14.636463306404542</v>
      </c>
      <c r="S82" s="222">
        <f t="shared" si="1"/>
        <v>-5.2363411602125008E-2</v>
      </c>
      <c r="T82" s="222">
        <f t="shared" si="1"/>
        <v>-6.2369464533066283</v>
      </c>
      <c r="U82" s="222">
        <f t="shared" si="1"/>
        <v>0</v>
      </c>
      <c r="V82" s="222">
        <f t="shared" si="1"/>
        <v>-6.4887361455782291E-2</v>
      </c>
      <c r="W82" s="222">
        <f t="shared" si="1"/>
        <v>0</v>
      </c>
      <c r="X82" s="222">
        <f t="shared" si="1"/>
        <v>-113.83455560518674</v>
      </c>
      <c r="Y82" s="222">
        <f t="shared" si="1"/>
        <v>0</v>
      </c>
      <c r="AQ82" s="3"/>
    </row>
    <row r="83" spans="5:43" x14ac:dyDescent="0.25">
      <c r="E83" s="60"/>
      <c r="F83" t="s">
        <v>192</v>
      </c>
      <c r="G83" t="s">
        <v>172</v>
      </c>
      <c r="J83" s="101">
        <f t="shared" ref="J83:Y83" si="2">J$56 * J35 * J71 / hours_in_year / $H46</f>
        <v>0</v>
      </c>
      <c r="K83" s="101">
        <f t="shared" si="2"/>
        <v>0</v>
      </c>
      <c r="L83" s="101">
        <f t="shared" si="2"/>
        <v>0</v>
      </c>
      <c r="M83" s="101">
        <f t="shared" si="2"/>
        <v>0</v>
      </c>
      <c r="N83" s="101">
        <f t="shared" si="2"/>
        <v>0</v>
      </c>
      <c r="O83" s="101">
        <f t="shared" si="2"/>
        <v>0</v>
      </c>
      <c r="P83" s="101">
        <f t="shared" si="2"/>
        <v>0</v>
      </c>
      <c r="Q83" s="101">
        <f t="shared" si="2"/>
        <v>0</v>
      </c>
      <c r="R83" s="101">
        <f t="shared" si="2"/>
        <v>0</v>
      </c>
      <c r="S83" s="101">
        <f t="shared" si="2"/>
        <v>0</v>
      </c>
      <c r="T83" s="101">
        <f t="shared" si="2"/>
        <v>0</v>
      </c>
      <c r="U83" s="101">
        <f t="shared" si="2"/>
        <v>0</v>
      </c>
      <c r="V83" s="101">
        <f t="shared" si="2"/>
        <v>0</v>
      </c>
      <c r="W83" s="101">
        <f t="shared" si="2"/>
        <v>0</v>
      </c>
      <c r="X83" s="101">
        <f t="shared" si="2"/>
        <v>0</v>
      </c>
      <c r="Y83" s="101">
        <f t="shared" si="2"/>
        <v>0</v>
      </c>
      <c r="AQ83" s="3"/>
    </row>
    <row r="84" spans="5:43" x14ac:dyDescent="0.25">
      <c r="E84" s="60"/>
      <c r="F84" t="s">
        <v>193</v>
      </c>
      <c r="G84" t="s">
        <v>172</v>
      </c>
      <c r="J84" s="101">
        <f t="shared" ref="J84:Y84" si="3">J$56 * J36 * J72 / hours_in_year / $H47</f>
        <v>0</v>
      </c>
      <c r="K84" s="101">
        <f t="shared" si="3"/>
        <v>0</v>
      </c>
      <c r="L84" s="101">
        <f t="shared" si="3"/>
        <v>0</v>
      </c>
      <c r="M84" s="101">
        <f t="shared" si="3"/>
        <v>0</v>
      </c>
      <c r="N84" s="101">
        <f t="shared" si="3"/>
        <v>0</v>
      </c>
      <c r="O84" s="101">
        <f t="shared" si="3"/>
        <v>0</v>
      </c>
      <c r="P84" s="101">
        <f t="shared" si="3"/>
        <v>0</v>
      </c>
      <c r="Q84" s="101">
        <f t="shared" si="3"/>
        <v>0</v>
      </c>
      <c r="R84" s="101">
        <f t="shared" si="3"/>
        <v>0</v>
      </c>
      <c r="S84" s="101">
        <f t="shared" si="3"/>
        <v>0</v>
      </c>
      <c r="T84" s="101">
        <f t="shared" si="3"/>
        <v>0</v>
      </c>
      <c r="U84" s="101">
        <f t="shared" si="3"/>
        <v>0</v>
      </c>
      <c r="V84" s="101">
        <f t="shared" si="3"/>
        <v>0</v>
      </c>
      <c r="W84" s="101">
        <f t="shared" si="3"/>
        <v>0</v>
      </c>
      <c r="X84" s="101">
        <f t="shared" si="3"/>
        <v>0</v>
      </c>
      <c r="Y84" s="101">
        <f t="shared" si="3"/>
        <v>0</v>
      </c>
      <c r="AQ84" s="3"/>
    </row>
    <row r="85" spans="5:43" x14ac:dyDescent="0.25">
      <c r="E85" s="60"/>
      <c r="F85" t="s">
        <v>194</v>
      </c>
      <c r="G85" t="s">
        <v>172</v>
      </c>
      <c r="J85" s="101">
        <f t="shared" ref="J85:Y85" si="4">J$56 * J37 * J73 / hours_in_year / $H48</f>
        <v>1049.8163843336592</v>
      </c>
      <c r="K85" s="101">
        <f t="shared" si="4"/>
        <v>0.84204315243806782</v>
      </c>
      <c r="L85" s="101">
        <f t="shared" si="4"/>
        <v>317.16319885369876</v>
      </c>
      <c r="M85" s="101">
        <f t="shared" si="4"/>
        <v>0.79958300778550839</v>
      </c>
      <c r="N85" s="101">
        <f t="shared" si="4"/>
        <v>367.35011042686449</v>
      </c>
      <c r="O85" s="101">
        <f t="shared" si="4"/>
        <v>31.227477126800373</v>
      </c>
      <c r="P85" s="101">
        <f t="shared" si="4"/>
        <v>339.80167528460521</v>
      </c>
      <c r="Q85" s="101">
        <f t="shared" si="4"/>
        <v>34.608540325407724</v>
      </c>
      <c r="R85" s="101">
        <f t="shared" si="4"/>
        <v>-14.592685250652586</v>
      </c>
      <c r="S85" s="101">
        <f t="shared" si="4"/>
        <v>-5.2206791228439693E-2</v>
      </c>
      <c r="T85" s="101">
        <f t="shared" si="4"/>
        <v>-6.2182915785709163</v>
      </c>
      <c r="U85" s="101">
        <f t="shared" si="4"/>
        <v>0</v>
      </c>
      <c r="V85" s="101">
        <f t="shared" si="4"/>
        <v>-6.4693281610949449E-2</v>
      </c>
      <c r="W85" s="101">
        <f t="shared" si="4"/>
        <v>0</v>
      </c>
      <c r="X85" s="101">
        <f t="shared" si="4"/>
        <v>-113.49407338503165</v>
      </c>
      <c r="Y85" s="101">
        <f t="shared" si="4"/>
        <v>0</v>
      </c>
      <c r="AQ85" s="3"/>
    </row>
    <row r="86" spans="5:43" x14ac:dyDescent="0.25">
      <c r="E86" s="60"/>
      <c r="F86" t="s">
        <v>195</v>
      </c>
      <c r="G86" t="s">
        <v>172</v>
      </c>
      <c r="J86" s="101">
        <f t="shared" ref="J86:Y86" si="5">J$56 * J38 * J74 / hours_in_year / $H49</f>
        <v>833.99604994777076</v>
      </c>
      <c r="K86" s="101">
        <f t="shared" si="5"/>
        <v>0.66893665739905261</v>
      </c>
      <c r="L86" s="101">
        <f t="shared" si="5"/>
        <v>251.96106574453592</v>
      </c>
      <c r="M86" s="101">
        <f t="shared" si="5"/>
        <v>0.63520543215920067</v>
      </c>
      <c r="N86" s="101">
        <f t="shared" si="5"/>
        <v>291.8305959173432</v>
      </c>
      <c r="O86" s="101">
        <f t="shared" si="5"/>
        <v>24.807759682771849</v>
      </c>
      <c r="P86" s="101">
        <f t="shared" si="5"/>
        <v>269.94554398469541</v>
      </c>
      <c r="Q86" s="101">
        <f t="shared" si="5"/>
        <v>28.454715207796273</v>
      </c>
      <c r="R86" s="101">
        <f t="shared" si="5"/>
        <v>-11.5927337759165</v>
      </c>
      <c r="S86" s="101">
        <f t="shared" si="5"/>
        <v>-4.1474164734628852E-2</v>
      </c>
      <c r="T86" s="101">
        <f t="shared" si="5"/>
        <v>-4.9399406328024824</v>
      </c>
      <c r="U86" s="101">
        <f t="shared" si="5"/>
        <v>0</v>
      </c>
      <c r="V86" s="101">
        <f t="shared" si="5"/>
        <v>-5.1393693341846916E-2</v>
      </c>
      <c r="W86" s="101">
        <f t="shared" si="5"/>
        <v>0</v>
      </c>
      <c r="X86" s="101">
        <f t="shared" si="5"/>
        <v>-90.162061011914432</v>
      </c>
      <c r="Y86" s="101">
        <f t="shared" si="5"/>
        <v>0</v>
      </c>
      <c r="AQ86" s="3"/>
    </row>
    <row r="87" spans="5:43" x14ac:dyDescent="0.25">
      <c r="E87" s="60"/>
      <c r="F87" t="s">
        <v>196</v>
      </c>
      <c r="G87" t="s">
        <v>172</v>
      </c>
      <c r="J87" s="101">
        <f t="shared" ref="J87:Y87" si="6">J$56 * J39 * J75 / hours_in_year / $H50</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0</v>
      </c>
      <c r="V87" s="101">
        <f t="shared" si="6"/>
        <v>0</v>
      </c>
      <c r="W87" s="101">
        <f t="shared" si="6"/>
        <v>0</v>
      </c>
      <c r="X87" s="101">
        <f t="shared" si="6"/>
        <v>0</v>
      </c>
      <c r="Y87" s="101">
        <f t="shared" si="6"/>
        <v>0</v>
      </c>
      <c r="AQ87" s="3"/>
    </row>
    <row r="88" spans="5:43" x14ac:dyDescent="0.25">
      <c r="E88" s="60"/>
      <c r="F88" t="s">
        <v>197</v>
      </c>
      <c r="G88" t="s">
        <v>172</v>
      </c>
      <c r="J88" s="101">
        <f t="shared" ref="J88:Y88" si="7">J$56 * J40 * J76 / hours_in_year / $H51</f>
        <v>824.23219375326028</v>
      </c>
      <c r="K88" s="101">
        <f t="shared" si="7"/>
        <v>0.66110520384901494</v>
      </c>
      <c r="L88" s="101">
        <f t="shared" si="7"/>
        <v>249.01127765777059</v>
      </c>
      <c r="M88" s="101">
        <f t="shared" si="7"/>
        <v>0.6277688807583125</v>
      </c>
      <c r="N88" s="101">
        <f>N$56 * N40 * N76 / hours_in_year / $H51</f>
        <v>288.41404259928646</v>
      </c>
      <c r="O88" s="101">
        <f t="shared" si="7"/>
        <v>24.517327374290616</v>
      </c>
      <c r="P88" s="101">
        <f t="shared" si="7"/>
        <v>266.78520590877707</v>
      </c>
      <c r="Q88" s="101">
        <f t="shared" si="7"/>
        <v>28.121586834631831</v>
      </c>
      <c r="R88" s="101">
        <f t="shared" si="7"/>
        <v>-11.457013965856991</v>
      </c>
      <c r="S88" s="101">
        <f t="shared" si="7"/>
        <v>-4.0988613537735634E-2</v>
      </c>
      <c r="T88" s="101">
        <f t="shared" si="7"/>
        <v>-4.8821071814916239</v>
      </c>
      <c r="U88" s="101">
        <f t="shared" si="7"/>
        <v>0</v>
      </c>
      <c r="V88" s="101">
        <f t="shared" si="7"/>
        <v>-5.0792011078332609E-2</v>
      </c>
      <c r="W88" s="101">
        <f t="shared" si="7"/>
        <v>0</v>
      </c>
      <c r="X88" s="101">
        <f t="shared" si="7"/>
        <v>0</v>
      </c>
      <c r="Y88" s="101">
        <f t="shared" si="7"/>
        <v>0</v>
      </c>
      <c r="AQ88" s="3"/>
    </row>
    <row r="89" spans="5:43" x14ac:dyDescent="0.25">
      <c r="E89" s="60"/>
      <c r="F89" t="s">
        <v>198</v>
      </c>
      <c r="G89" t="s">
        <v>172</v>
      </c>
      <c r="J89" s="101">
        <f t="shared" ref="J89:Y89" si="8">J$56 * J41 * J77 / hours_in_year / $H52</f>
        <v>809.23179942250158</v>
      </c>
      <c r="K89" s="101">
        <f t="shared" si="8"/>
        <v>0.64907359573298873</v>
      </c>
      <c r="L89" s="101">
        <f t="shared" si="8"/>
        <v>244.47946321763874</v>
      </c>
      <c r="M89" s="101">
        <f t="shared" si="8"/>
        <v>0.61634396817746195</v>
      </c>
      <c r="N89" s="101">
        <f t="shared" si="8"/>
        <v>283.16512803090865</v>
      </c>
      <c r="O89" s="101">
        <f t="shared" si="8"/>
        <v>24.071130803302566</v>
      </c>
      <c r="P89" s="101">
        <f t="shared" si="8"/>
        <v>0</v>
      </c>
      <c r="Q89" s="101">
        <f t="shared" si="8"/>
        <v>27.609795503350213</v>
      </c>
      <c r="R89" s="101">
        <f t="shared" si="8"/>
        <v>-11.248505090999439</v>
      </c>
      <c r="S89" s="101">
        <f t="shared" si="8"/>
        <v>0</v>
      </c>
      <c r="T89" s="101">
        <f t="shared" si="8"/>
        <v>-4.7932565718667757</v>
      </c>
      <c r="U89" s="101">
        <f t="shared" si="8"/>
        <v>0</v>
      </c>
      <c r="V89" s="101">
        <f t="shared" si="8"/>
        <v>0</v>
      </c>
      <c r="W89" s="101">
        <f t="shared" si="8"/>
        <v>0</v>
      </c>
      <c r="X89" s="101">
        <f t="shared" si="8"/>
        <v>0</v>
      </c>
      <c r="Y89" s="101">
        <f t="shared" si="8"/>
        <v>0</v>
      </c>
      <c r="AQ89" s="3"/>
    </row>
    <row r="90" spans="5:43" x14ac:dyDescent="0.25">
      <c r="E90" s="60"/>
      <c r="F90" s="91" t="s">
        <v>199</v>
      </c>
      <c r="G90" s="91" t="s">
        <v>172</v>
      </c>
      <c r="H90" s="91"/>
      <c r="I90" s="91"/>
      <c r="J90" s="193">
        <f t="shared" ref="J90:Y90" si="9">J$56 * J42 * J78 / hours_in_year / $H53</f>
        <v>761.80162181883827</v>
      </c>
      <c r="K90" s="193">
        <f t="shared" si="9"/>
        <v>0.61103050851689833</v>
      </c>
      <c r="L90" s="193">
        <f t="shared" si="9"/>
        <v>230.15018899839029</v>
      </c>
      <c r="M90" s="193">
        <f t="shared" si="9"/>
        <v>0.58021920899663681</v>
      </c>
      <c r="N90" s="193">
        <f t="shared" si="9"/>
        <v>266.56843432305556</v>
      </c>
      <c r="O90" s="193">
        <f t="shared" si="9"/>
        <v>0</v>
      </c>
      <c r="P90" s="193">
        <f t="shared" si="9"/>
        <v>0</v>
      </c>
      <c r="Q90" s="193">
        <f t="shared" si="9"/>
        <v>25.991547795759804</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508</v>
      </c>
      <c r="J92" s="101"/>
      <c r="K92" s="101"/>
      <c r="L92" s="101"/>
      <c r="M92" s="101"/>
      <c r="N92" s="101"/>
      <c r="O92" s="101"/>
      <c r="P92" s="101"/>
      <c r="Q92" s="101"/>
      <c r="R92" s="101"/>
      <c r="S92" s="101"/>
      <c r="T92" s="101"/>
      <c r="U92" s="101"/>
      <c r="V92" s="101"/>
      <c r="W92" s="101"/>
      <c r="X92" s="101"/>
      <c r="Y92" s="101"/>
      <c r="AQ92" s="3"/>
    </row>
    <row r="93" spans="5:43" x14ac:dyDescent="0.25">
      <c r="E93" s="60"/>
      <c r="F93" s="90" t="s">
        <v>191</v>
      </c>
      <c r="G93" s="90" t="s">
        <v>283</v>
      </c>
      <c r="H93" s="90"/>
      <c r="I93" s="90"/>
      <c r="J93" s="167">
        <f>'Pseudo-load coefficients'!J283</f>
        <v>0.83075793868016534</v>
      </c>
      <c r="K93" s="167">
        <f>'Pseudo-load coefficients'!K283</f>
        <v>0.83075793868016534</v>
      </c>
      <c r="L93" s="167">
        <f>'Pseudo-load coefficients'!L283</f>
        <v>0.95420840224284309</v>
      </c>
      <c r="M93" s="167">
        <f>'Pseudo-load coefficients'!M283</f>
        <v>0.95420840224284309</v>
      </c>
      <c r="N93" s="167">
        <f>'Pseudo-load coefficients'!N283</f>
        <v>0.83539868217519275</v>
      </c>
      <c r="O93" s="167">
        <f>'Pseudo-load coefficients'!O283</f>
        <v>0.70744222742486451</v>
      </c>
      <c r="P93" s="167">
        <f>'Pseudo-load coefficients'!P283</f>
        <v>0.69695641937652653</v>
      </c>
      <c r="Q93" s="167">
        <f>'Pseudo-load coefficients'!Q283</f>
        <v>0.71226727051894578</v>
      </c>
      <c r="R93" s="167">
        <f>'Pseudo-load coefficients'!R283</f>
        <v>0.61345481759523901</v>
      </c>
      <c r="S93" s="167">
        <f>'Pseudo-load coefficients'!S283</f>
        <v>0.61345481759523901</v>
      </c>
      <c r="T93" s="167">
        <f>'Pseudo-load coefficients'!T283</f>
        <v>0.61345481759523901</v>
      </c>
      <c r="U93" s="167">
        <f>'Pseudo-load coefficients'!U283</f>
        <v>0.61345481759523901</v>
      </c>
      <c r="V93" s="167">
        <f>'Pseudo-load coefficients'!V283</f>
        <v>0.61345481759523901</v>
      </c>
      <c r="W93" s="167">
        <f>'Pseudo-load coefficients'!W283</f>
        <v>0.61345481759523901</v>
      </c>
      <c r="X93" s="167">
        <f>'Pseudo-load coefficients'!X283</f>
        <v>0.61345481759523901</v>
      </c>
      <c r="Y93" s="167">
        <f>'Pseudo-load coefficients'!Y283</f>
        <v>0.61345481759523901</v>
      </c>
      <c r="AQ93" s="3"/>
    </row>
    <row r="94" spans="5:43" x14ac:dyDescent="0.25">
      <c r="E94" s="60"/>
      <c r="F94" t="s">
        <v>192</v>
      </c>
      <c r="G94" t="s">
        <v>283</v>
      </c>
      <c r="J94" s="163">
        <f>'Pseudo-load coefficients'!J284</f>
        <v>0</v>
      </c>
      <c r="K94" s="163">
        <f>'Pseudo-load coefficients'!K284</f>
        <v>0</v>
      </c>
      <c r="L94" s="163">
        <f>'Pseudo-load coefficients'!L284</f>
        <v>0</v>
      </c>
      <c r="M94" s="163">
        <f>'Pseudo-load coefficients'!M284</f>
        <v>0</v>
      </c>
      <c r="N94" s="163">
        <f>'Pseudo-load coefficients'!N284</f>
        <v>0</v>
      </c>
      <c r="O94" s="163">
        <f>'Pseudo-load coefficients'!O284</f>
        <v>0</v>
      </c>
      <c r="P94" s="163">
        <f>'Pseudo-load coefficients'!P284</f>
        <v>0</v>
      </c>
      <c r="Q94" s="163">
        <f>'Pseudo-load coefficients'!Q284</f>
        <v>0</v>
      </c>
      <c r="R94" s="163">
        <f>'Pseudo-load coefficients'!R284</f>
        <v>0</v>
      </c>
      <c r="S94" s="163">
        <f>'Pseudo-load coefficients'!S284</f>
        <v>0</v>
      </c>
      <c r="T94" s="163">
        <f>'Pseudo-load coefficients'!T284</f>
        <v>0</v>
      </c>
      <c r="U94" s="163">
        <f>'Pseudo-load coefficients'!U284</f>
        <v>0</v>
      </c>
      <c r="V94" s="163">
        <f>'Pseudo-load coefficients'!V284</f>
        <v>0</v>
      </c>
      <c r="W94" s="163">
        <f>'Pseudo-load coefficients'!W284</f>
        <v>0</v>
      </c>
      <c r="X94" s="163">
        <f>'Pseudo-load coefficients'!X284</f>
        <v>0</v>
      </c>
      <c r="Y94" s="163">
        <f>'Pseudo-load coefficients'!Y284</f>
        <v>0</v>
      </c>
      <c r="AQ94" s="3"/>
    </row>
    <row r="95" spans="5:43" x14ac:dyDescent="0.25">
      <c r="E95" s="60"/>
      <c r="F95" t="s">
        <v>193</v>
      </c>
      <c r="G95" t="s">
        <v>283</v>
      </c>
      <c r="J95" s="163">
        <f>'Pseudo-load coefficients'!J285</f>
        <v>0</v>
      </c>
      <c r="K95" s="163">
        <f>'Pseudo-load coefficients'!K285</f>
        <v>0</v>
      </c>
      <c r="L95" s="163">
        <f>'Pseudo-load coefficients'!L285</f>
        <v>0</v>
      </c>
      <c r="M95" s="163">
        <f>'Pseudo-load coefficients'!M285</f>
        <v>0</v>
      </c>
      <c r="N95" s="163">
        <f>'Pseudo-load coefficients'!N285</f>
        <v>0</v>
      </c>
      <c r="O95" s="163">
        <f>'Pseudo-load coefficients'!O285</f>
        <v>0</v>
      </c>
      <c r="P95" s="163">
        <f>'Pseudo-load coefficients'!P285</f>
        <v>0</v>
      </c>
      <c r="Q95" s="163">
        <f>'Pseudo-load coefficients'!Q285</f>
        <v>0</v>
      </c>
      <c r="R95" s="163">
        <f>'Pseudo-load coefficients'!R285</f>
        <v>0</v>
      </c>
      <c r="S95" s="163">
        <f>'Pseudo-load coefficients'!S285</f>
        <v>0</v>
      </c>
      <c r="T95" s="163">
        <f>'Pseudo-load coefficients'!T285</f>
        <v>0</v>
      </c>
      <c r="U95" s="163">
        <f>'Pseudo-load coefficients'!U285</f>
        <v>0</v>
      </c>
      <c r="V95" s="163">
        <f>'Pseudo-load coefficients'!V285</f>
        <v>0</v>
      </c>
      <c r="W95" s="163">
        <f>'Pseudo-load coefficients'!W285</f>
        <v>0</v>
      </c>
      <c r="X95" s="163">
        <f>'Pseudo-load coefficients'!X285</f>
        <v>0</v>
      </c>
      <c r="Y95" s="163">
        <f>'Pseudo-load coefficients'!Y285</f>
        <v>0</v>
      </c>
      <c r="AQ95" s="3"/>
    </row>
    <row r="96" spans="5:43" x14ac:dyDescent="0.25">
      <c r="E96" s="60"/>
      <c r="F96" t="s">
        <v>194</v>
      </c>
      <c r="G96" t="s">
        <v>283</v>
      </c>
      <c r="J96" s="163">
        <f>'Pseudo-load coefficients'!J286</f>
        <v>0.83075793868016534</v>
      </c>
      <c r="K96" s="163">
        <f>'Pseudo-load coefficients'!K286</f>
        <v>0.83075793868016534</v>
      </c>
      <c r="L96" s="163">
        <f>'Pseudo-load coefficients'!L286</f>
        <v>0.95420840224284309</v>
      </c>
      <c r="M96" s="163">
        <f>'Pseudo-load coefficients'!M286</f>
        <v>0.95420840224284309</v>
      </c>
      <c r="N96" s="163">
        <f>'Pseudo-load coefficients'!N286</f>
        <v>0.83539868217519275</v>
      </c>
      <c r="O96" s="163">
        <f>'Pseudo-load coefficients'!O286</f>
        <v>0.70744222742486451</v>
      </c>
      <c r="P96" s="163">
        <f>'Pseudo-load coefficients'!P286</f>
        <v>0.69695641937652653</v>
      </c>
      <c r="Q96" s="163">
        <f>'Pseudo-load coefficients'!Q286</f>
        <v>0.71226727051894578</v>
      </c>
      <c r="R96" s="163">
        <f>'Pseudo-load coefficients'!R286</f>
        <v>0.61345481759523901</v>
      </c>
      <c r="S96" s="163">
        <f>'Pseudo-load coefficients'!S286</f>
        <v>0.61345481759523901</v>
      </c>
      <c r="T96" s="163">
        <f>'Pseudo-load coefficients'!T286</f>
        <v>0.61345481759523901</v>
      </c>
      <c r="U96" s="163">
        <f>'Pseudo-load coefficients'!U286</f>
        <v>0.61345481759523901</v>
      </c>
      <c r="V96" s="163">
        <f>'Pseudo-load coefficients'!V286</f>
        <v>0.61345481759523901</v>
      </c>
      <c r="W96" s="163">
        <f>'Pseudo-load coefficients'!W286</f>
        <v>0.61345481759523901</v>
      </c>
      <c r="X96" s="163">
        <f>'Pseudo-load coefficients'!X286</f>
        <v>0.61345481759523901</v>
      </c>
      <c r="Y96" s="163">
        <f>'Pseudo-load coefficients'!Y286</f>
        <v>0.61345481759523901</v>
      </c>
      <c r="AQ96" s="3"/>
    </row>
    <row r="97" spans="5:43" x14ac:dyDescent="0.25">
      <c r="E97" s="60"/>
      <c r="F97" t="s">
        <v>195</v>
      </c>
      <c r="G97" t="s">
        <v>283</v>
      </c>
      <c r="J97" s="163">
        <f>'Pseudo-load coefficients'!J287</f>
        <v>1.3390623186418318</v>
      </c>
      <c r="K97" s="163">
        <f>'Pseudo-load coefficients'!K287</f>
        <v>1.3390623186418318</v>
      </c>
      <c r="L97" s="163">
        <f>'Pseudo-load coefficients'!L287</f>
        <v>1.5380467114220857</v>
      </c>
      <c r="M97" s="163">
        <f>'Pseudo-load coefficients'!M287</f>
        <v>1.5380467114220857</v>
      </c>
      <c r="N97" s="163">
        <f>'Pseudo-load coefficients'!N287</f>
        <v>1.3465425297302096</v>
      </c>
      <c r="O97" s="163">
        <f>'Pseudo-load coefficients'!O287</f>
        <v>1.1402951272011703</v>
      </c>
      <c r="P97" s="163">
        <f>'Pseudo-load coefficients'!P287</f>
        <v>1.1233935126823273</v>
      </c>
      <c r="Q97" s="163">
        <f>'Pseudo-load coefficients'!Q287</f>
        <v>0.99433066711801354</v>
      </c>
      <c r="R97" s="163">
        <f>'Pseudo-load coefficients'!R287</f>
        <v>0.98880093970108363</v>
      </c>
      <c r="S97" s="163">
        <f>'Pseudo-load coefficients'!S287</f>
        <v>0.98880093970108363</v>
      </c>
      <c r="T97" s="163">
        <f>'Pseudo-load coefficients'!T287</f>
        <v>0.98880093970108363</v>
      </c>
      <c r="U97" s="163">
        <f>'Pseudo-load coefficients'!U287</f>
        <v>0.98880093970108363</v>
      </c>
      <c r="V97" s="163">
        <f>'Pseudo-load coefficients'!V287</f>
        <v>0.98880093970108363</v>
      </c>
      <c r="W97" s="163">
        <f>'Pseudo-load coefficients'!W287</f>
        <v>0.98880093970108363</v>
      </c>
      <c r="X97" s="163">
        <f>'Pseudo-load coefficients'!X287</f>
        <v>0.98880093970108363</v>
      </c>
      <c r="Y97" s="163">
        <f>'Pseudo-load coefficients'!Y287</f>
        <v>0.98880093970108363</v>
      </c>
      <c r="AQ97" s="3"/>
    </row>
    <row r="98" spans="5:43" x14ac:dyDescent="0.25">
      <c r="E98" s="60"/>
      <c r="F98" t="s">
        <v>196</v>
      </c>
      <c r="G98" t="s">
        <v>283</v>
      </c>
      <c r="J98" s="163">
        <f>'Pseudo-load coefficients'!J288</f>
        <v>0</v>
      </c>
      <c r="K98" s="163">
        <f>'Pseudo-load coefficients'!K288</f>
        <v>0</v>
      </c>
      <c r="L98" s="163">
        <f>'Pseudo-load coefficients'!L288</f>
        <v>0</v>
      </c>
      <c r="M98" s="163">
        <f>'Pseudo-load coefficients'!M288</f>
        <v>0</v>
      </c>
      <c r="N98" s="163">
        <f>'Pseudo-load coefficients'!N288</f>
        <v>0</v>
      </c>
      <c r="O98" s="163">
        <f>'Pseudo-load coefficients'!O288</f>
        <v>0</v>
      </c>
      <c r="P98" s="163">
        <f>'Pseudo-load coefficients'!P288</f>
        <v>0</v>
      </c>
      <c r="Q98" s="163">
        <f>'Pseudo-load coefficients'!Q288</f>
        <v>0</v>
      </c>
      <c r="R98" s="163">
        <f>'Pseudo-load coefficients'!R288</f>
        <v>0</v>
      </c>
      <c r="S98" s="163">
        <f>'Pseudo-load coefficients'!S288</f>
        <v>0</v>
      </c>
      <c r="T98" s="163">
        <f>'Pseudo-load coefficients'!T288</f>
        <v>0</v>
      </c>
      <c r="U98" s="163">
        <f>'Pseudo-load coefficients'!U288</f>
        <v>0</v>
      </c>
      <c r="V98" s="163">
        <f>'Pseudo-load coefficients'!V288</f>
        <v>0</v>
      </c>
      <c r="W98" s="163">
        <f>'Pseudo-load coefficients'!W288</f>
        <v>0</v>
      </c>
      <c r="X98" s="163">
        <f>'Pseudo-load coefficients'!X288</f>
        <v>0</v>
      </c>
      <c r="Y98" s="163">
        <f>'Pseudo-load coefficients'!Y288</f>
        <v>0</v>
      </c>
      <c r="AQ98" s="3"/>
    </row>
    <row r="99" spans="5:43" x14ac:dyDescent="0.25">
      <c r="E99" s="60"/>
      <c r="F99" t="s">
        <v>197</v>
      </c>
      <c r="G99" t="s">
        <v>283</v>
      </c>
      <c r="J99" s="163">
        <f>'Pseudo-load coefficients'!J289</f>
        <v>1.3390623186418318</v>
      </c>
      <c r="K99" s="163">
        <f>'Pseudo-load coefficients'!K289</f>
        <v>1.3390623186418318</v>
      </c>
      <c r="L99" s="163">
        <f>'Pseudo-load coefficients'!L289</f>
        <v>1.5380467114220857</v>
      </c>
      <c r="M99" s="163">
        <f>'Pseudo-load coefficients'!M289</f>
        <v>1.5380467114220857</v>
      </c>
      <c r="N99" s="163">
        <f>'Pseudo-load coefficients'!N289</f>
        <v>1.3465425297302096</v>
      </c>
      <c r="O99" s="163">
        <f>'Pseudo-load coefficients'!O289</f>
        <v>1.1402951272011703</v>
      </c>
      <c r="P99" s="163">
        <f>'Pseudo-load coefficients'!P289</f>
        <v>1.1233935126823273</v>
      </c>
      <c r="Q99" s="163">
        <f>'Pseudo-load coefficients'!Q289</f>
        <v>0.99433066711801354</v>
      </c>
      <c r="R99" s="163">
        <f>'Pseudo-load coefficients'!R289</f>
        <v>0.98880093970108363</v>
      </c>
      <c r="S99" s="163">
        <f>'Pseudo-load coefficients'!S289</f>
        <v>0.98880093970108363</v>
      </c>
      <c r="T99" s="163">
        <f>'Pseudo-load coefficients'!T289</f>
        <v>0.98880093970108363</v>
      </c>
      <c r="U99" s="163">
        <f>'Pseudo-load coefficients'!U289</f>
        <v>0.98880093970108363</v>
      </c>
      <c r="V99" s="163">
        <f>'Pseudo-load coefficients'!V289</f>
        <v>0.98880093970108363</v>
      </c>
      <c r="W99" s="163">
        <f>'Pseudo-load coefficients'!W289</f>
        <v>0.98880093970108363</v>
      </c>
      <c r="X99" s="163">
        <f>'Pseudo-load coefficients'!X289</f>
        <v>0.98880093970108363</v>
      </c>
      <c r="Y99" s="163">
        <f>'Pseudo-load coefficients'!Y289</f>
        <v>0.98880093970108363</v>
      </c>
      <c r="AQ99" s="3"/>
    </row>
    <row r="100" spans="5:43" x14ac:dyDescent="0.25">
      <c r="E100" s="60"/>
      <c r="F100" t="s">
        <v>198</v>
      </c>
      <c r="G100" t="s">
        <v>283</v>
      </c>
      <c r="J100" s="163">
        <f>'Pseudo-load coefficients'!J290</f>
        <v>1.3390623186418318</v>
      </c>
      <c r="K100" s="163">
        <f>'Pseudo-load coefficients'!K290</f>
        <v>1.3390623186418318</v>
      </c>
      <c r="L100" s="163">
        <f>'Pseudo-load coefficients'!L290</f>
        <v>1.5380467114220857</v>
      </c>
      <c r="M100" s="163">
        <f>'Pseudo-load coefficients'!M290</f>
        <v>1.5380467114220857</v>
      </c>
      <c r="N100" s="163">
        <f>'Pseudo-load coefficients'!N290</f>
        <v>1.3465425297302096</v>
      </c>
      <c r="O100" s="163">
        <f>'Pseudo-load coefficients'!O290</f>
        <v>1.1402951272011703</v>
      </c>
      <c r="P100" s="163">
        <f>'Pseudo-load coefficients'!P290</f>
        <v>1.1233935126823273</v>
      </c>
      <c r="Q100" s="163">
        <f>'Pseudo-load coefficients'!Q290</f>
        <v>0.99433066711801354</v>
      </c>
      <c r="R100" s="163">
        <f>'Pseudo-load coefficients'!R290</f>
        <v>0.98880093970108363</v>
      </c>
      <c r="S100" s="163">
        <f>'Pseudo-load coefficients'!S290</f>
        <v>0.98880093970108363</v>
      </c>
      <c r="T100" s="163">
        <f>'Pseudo-load coefficients'!T290</f>
        <v>0.98880093970108363</v>
      </c>
      <c r="U100" s="163">
        <f>'Pseudo-load coefficients'!U290</f>
        <v>0.98880093970108363</v>
      </c>
      <c r="V100" s="163">
        <f>'Pseudo-load coefficients'!V290</f>
        <v>0.98880093970108363</v>
      </c>
      <c r="W100" s="163">
        <f>'Pseudo-load coefficients'!W290</f>
        <v>0.98880093970108363</v>
      </c>
      <c r="X100" s="163">
        <f>'Pseudo-load coefficients'!X290</f>
        <v>0.98880093970108363</v>
      </c>
      <c r="Y100" s="163">
        <f>'Pseudo-load coefficients'!Y290</f>
        <v>0.98880093970108363</v>
      </c>
      <c r="AQ100" s="3"/>
    </row>
    <row r="101" spans="5:43" x14ac:dyDescent="0.25">
      <c r="E101" s="60"/>
      <c r="F101" s="91" t="s">
        <v>199</v>
      </c>
      <c r="G101" s="91" t="s">
        <v>283</v>
      </c>
      <c r="H101" s="91"/>
      <c r="I101" s="91"/>
      <c r="J101" s="168">
        <f>'Pseudo-load coefficients'!J291</f>
        <v>1.3390623186418318</v>
      </c>
      <c r="K101" s="168">
        <f>'Pseudo-load coefficients'!K291</f>
        <v>1.3390623186418318</v>
      </c>
      <c r="L101" s="168">
        <f>'Pseudo-load coefficients'!L291</f>
        <v>1.5380467114220857</v>
      </c>
      <c r="M101" s="168">
        <f>'Pseudo-load coefficients'!M291</f>
        <v>1.5380467114220857</v>
      </c>
      <c r="N101" s="168">
        <f>'Pseudo-load coefficients'!N291</f>
        <v>1.3465425297302096</v>
      </c>
      <c r="O101" s="168">
        <f>'Pseudo-load coefficients'!O291</f>
        <v>1.1402951272011703</v>
      </c>
      <c r="P101" s="168">
        <f>'Pseudo-load coefficients'!P291</f>
        <v>1.1233935126823273</v>
      </c>
      <c r="Q101" s="168">
        <f>'Pseudo-load coefficients'!Q291</f>
        <v>0.99433066711801354</v>
      </c>
      <c r="R101" s="168">
        <f>'Pseudo-load coefficients'!R291</f>
        <v>0.98880093970108363</v>
      </c>
      <c r="S101" s="168">
        <f>'Pseudo-load coefficients'!S291</f>
        <v>0.98880093970108363</v>
      </c>
      <c r="T101" s="168">
        <f>'Pseudo-load coefficients'!T291</f>
        <v>0.98880093970108363</v>
      </c>
      <c r="U101" s="168">
        <f>'Pseudo-load coefficients'!U291</f>
        <v>0.98880093970108363</v>
      </c>
      <c r="V101" s="168">
        <f>'Pseudo-load coefficients'!V291</f>
        <v>0.98880093970108363</v>
      </c>
      <c r="W101" s="168">
        <f>'Pseudo-load coefficients'!W291</f>
        <v>0.98880093970108363</v>
      </c>
      <c r="X101" s="168">
        <f>'Pseudo-load coefficients'!X291</f>
        <v>0.98880093970108363</v>
      </c>
      <c r="Y101" s="168">
        <f>'Pseudo-load coefficients'!Y291</f>
        <v>0.98880093970108363</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509</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510</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191</v>
      </c>
      <c r="G105" s="90" t="s">
        <v>172</v>
      </c>
      <c r="H105" s="90"/>
      <c r="I105" s="90"/>
      <c r="J105" s="222">
        <f t="shared" ref="J105:Y105" si="10">J$57 * J34 * J93 / hours_in_year / $H45</f>
        <v>266.9292159283624</v>
      </c>
      <c r="K105" s="222">
        <f t="shared" si="10"/>
        <v>1.7097412492247162</v>
      </c>
      <c r="L105" s="222">
        <f t="shared" si="10"/>
        <v>120.10989278425473</v>
      </c>
      <c r="M105" s="222">
        <f t="shared" si="10"/>
        <v>0.92362313516340844</v>
      </c>
      <c r="N105" s="222">
        <f t="shared" si="10"/>
        <v>128.84048345200728</v>
      </c>
      <c r="O105" s="222">
        <f t="shared" si="10"/>
        <v>10.613211257298063</v>
      </c>
      <c r="P105" s="222">
        <f t="shared" si="10"/>
        <v>115.78275765608106</v>
      </c>
      <c r="Q105" s="222">
        <f t="shared" si="10"/>
        <v>5.5245398701787227</v>
      </c>
      <c r="R105" s="222">
        <f t="shared" si="10"/>
        <v>-5.8153885395290636</v>
      </c>
      <c r="S105" s="222">
        <f t="shared" si="10"/>
        <v>-1.6623602405366568E-2</v>
      </c>
      <c r="T105" s="222">
        <f t="shared" si="10"/>
        <v>-2.1508301807308117</v>
      </c>
      <c r="U105" s="222">
        <f t="shared" si="10"/>
        <v>0</v>
      </c>
      <c r="V105" s="222">
        <f t="shared" si="10"/>
        <v>-2.389115249547458E-2</v>
      </c>
      <c r="W105" s="222">
        <f t="shared" si="10"/>
        <v>0</v>
      </c>
      <c r="X105" s="222">
        <f t="shared" si="10"/>
        <v>-30.273391851435321</v>
      </c>
      <c r="Y105" s="222">
        <f t="shared" si="10"/>
        <v>0</v>
      </c>
      <c r="AQ105" s="3"/>
    </row>
    <row r="106" spans="5:43" x14ac:dyDescent="0.25">
      <c r="E106" s="60"/>
      <c r="F106" t="s">
        <v>192</v>
      </c>
      <c r="G106" t="s">
        <v>172</v>
      </c>
      <c r="J106" s="101">
        <f t="shared" ref="J106:Y106" si="11">J$57 * J35 * J94 / hours_in_year / $H46</f>
        <v>0</v>
      </c>
      <c r="K106" s="101">
        <f t="shared" si="11"/>
        <v>0</v>
      </c>
      <c r="L106" s="101">
        <f t="shared" si="11"/>
        <v>0</v>
      </c>
      <c r="M106" s="101">
        <f t="shared" si="11"/>
        <v>0</v>
      </c>
      <c r="N106" s="101">
        <f t="shared" si="11"/>
        <v>0</v>
      </c>
      <c r="O106" s="101">
        <f t="shared" si="11"/>
        <v>0</v>
      </c>
      <c r="P106" s="101">
        <f t="shared" si="11"/>
        <v>0</v>
      </c>
      <c r="Q106" s="101">
        <f t="shared" si="11"/>
        <v>0</v>
      </c>
      <c r="R106" s="101">
        <f t="shared" si="11"/>
        <v>0</v>
      </c>
      <c r="S106" s="101">
        <f t="shared" si="11"/>
        <v>0</v>
      </c>
      <c r="T106" s="101">
        <f t="shared" si="11"/>
        <v>0</v>
      </c>
      <c r="U106" s="101">
        <f t="shared" si="11"/>
        <v>0</v>
      </c>
      <c r="V106" s="101">
        <f t="shared" si="11"/>
        <v>0</v>
      </c>
      <c r="W106" s="101">
        <f t="shared" si="11"/>
        <v>0</v>
      </c>
      <c r="X106" s="101">
        <f t="shared" si="11"/>
        <v>0</v>
      </c>
      <c r="Y106" s="101">
        <f t="shared" si="11"/>
        <v>0</v>
      </c>
      <c r="AQ106" s="3"/>
    </row>
    <row r="107" spans="5:43" x14ac:dyDescent="0.25">
      <c r="E107" s="60"/>
      <c r="F107" t="s">
        <v>193</v>
      </c>
      <c r="G107" t="s">
        <v>172</v>
      </c>
      <c r="J107" s="101">
        <f t="shared" ref="J107:Y107" si="12">J$57 * J36 * J95 / hours_in_year / $H47</f>
        <v>0</v>
      </c>
      <c r="K107" s="101">
        <f t="shared" si="12"/>
        <v>0</v>
      </c>
      <c r="L107" s="101">
        <f t="shared" si="12"/>
        <v>0</v>
      </c>
      <c r="M107" s="101">
        <f t="shared" si="12"/>
        <v>0</v>
      </c>
      <c r="N107" s="101">
        <f t="shared" si="12"/>
        <v>0</v>
      </c>
      <c r="O107" s="101">
        <f t="shared" si="12"/>
        <v>0</v>
      </c>
      <c r="P107" s="101">
        <f t="shared" si="12"/>
        <v>0</v>
      </c>
      <c r="Q107" s="101">
        <f t="shared" si="12"/>
        <v>0</v>
      </c>
      <c r="R107" s="101">
        <f t="shared" si="12"/>
        <v>0</v>
      </c>
      <c r="S107" s="101">
        <f t="shared" si="12"/>
        <v>0</v>
      </c>
      <c r="T107" s="101">
        <f t="shared" si="12"/>
        <v>0</v>
      </c>
      <c r="U107" s="101">
        <f t="shared" si="12"/>
        <v>0</v>
      </c>
      <c r="V107" s="101">
        <f t="shared" si="12"/>
        <v>0</v>
      </c>
      <c r="W107" s="101">
        <f t="shared" si="12"/>
        <v>0</v>
      </c>
      <c r="X107" s="101">
        <f t="shared" si="12"/>
        <v>0</v>
      </c>
      <c r="Y107" s="101">
        <f t="shared" si="12"/>
        <v>0</v>
      </c>
      <c r="AQ107" s="3"/>
    </row>
    <row r="108" spans="5:43" x14ac:dyDescent="0.25">
      <c r="E108" s="60"/>
      <c r="F108" t="s">
        <v>194</v>
      </c>
      <c r="G108" t="s">
        <v>172</v>
      </c>
      <c r="J108" s="101">
        <f t="shared" ref="J108:Y108" si="13">J$57 * J37 * J96 / hours_in_year / $H48</f>
        <v>266.13082345798847</v>
      </c>
      <c r="K108" s="101">
        <f t="shared" si="13"/>
        <v>1.7046273671233463</v>
      </c>
      <c r="L108" s="101">
        <f t="shared" si="13"/>
        <v>119.75064086166972</v>
      </c>
      <c r="M108" s="101">
        <f t="shared" si="13"/>
        <v>0.92086055350289986</v>
      </c>
      <c r="N108" s="101">
        <f t="shared" si="13"/>
        <v>128.45511809771415</v>
      </c>
      <c r="O108" s="101">
        <f t="shared" si="13"/>
        <v>10.58146685672788</v>
      </c>
      <c r="P108" s="101">
        <f t="shared" si="13"/>
        <v>115.43644831114763</v>
      </c>
      <c r="Q108" s="101">
        <f t="shared" si="13"/>
        <v>5.5080158227105915</v>
      </c>
      <c r="R108" s="101">
        <f t="shared" si="13"/>
        <v>-5.7979945558614796</v>
      </c>
      <c r="S108" s="101">
        <f t="shared" si="13"/>
        <v>-1.6573880763077337E-2</v>
      </c>
      <c r="T108" s="101">
        <f t="shared" si="13"/>
        <v>-2.1443969897615274</v>
      </c>
      <c r="U108" s="101">
        <f t="shared" si="13"/>
        <v>0</v>
      </c>
      <c r="V108" s="101">
        <f t="shared" si="13"/>
        <v>-2.3819693415228896E-2</v>
      </c>
      <c r="W108" s="101">
        <f t="shared" si="13"/>
        <v>0</v>
      </c>
      <c r="X108" s="101">
        <f t="shared" si="13"/>
        <v>-30.182843321470912</v>
      </c>
      <c r="Y108" s="101">
        <f t="shared" si="13"/>
        <v>0</v>
      </c>
      <c r="AQ108" s="3"/>
    </row>
    <row r="109" spans="5:43" x14ac:dyDescent="0.25">
      <c r="E109" s="60"/>
      <c r="F109" t="s">
        <v>195</v>
      </c>
      <c r="G109" t="s">
        <v>172</v>
      </c>
      <c r="J109" s="101">
        <f t="shared" ref="J109:Y109" si="14">J$57 * J38 * J97 / hours_in_year / $H49</f>
        <v>424.73001645497141</v>
      </c>
      <c r="K109" s="101">
        <f t="shared" si="14"/>
        <v>2.7204906229217203</v>
      </c>
      <c r="L109" s="101">
        <f t="shared" si="14"/>
        <v>191.11537326941536</v>
      </c>
      <c r="M109" s="101">
        <f t="shared" si="14"/>
        <v>1.4696423095980184</v>
      </c>
      <c r="N109" s="101">
        <f t="shared" si="14"/>
        <v>205.00723559358801</v>
      </c>
      <c r="O109" s="101">
        <f t="shared" si="14"/>
        <v>16.887433532798706</v>
      </c>
      <c r="P109" s="101">
        <f t="shared" si="14"/>
        <v>184.23016151842694</v>
      </c>
      <c r="Q109" s="101">
        <f t="shared" si="14"/>
        <v>7.6133275064712107</v>
      </c>
      <c r="R109" s="101">
        <f t="shared" si="14"/>
        <v>-9.2532773585530403</v>
      </c>
      <c r="S109" s="101">
        <f t="shared" si="14"/>
        <v>-2.6450993378960553E-2</v>
      </c>
      <c r="T109" s="101">
        <f t="shared" si="14"/>
        <v>-3.422338521006314</v>
      </c>
      <c r="U109" s="101">
        <f t="shared" si="14"/>
        <v>0</v>
      </c>
      <c r="V109" s="101">
        <f t="shared" si="14"/>
        <v>-3.8014908024359709E-2</v>
      </c>
      <c r="W109" s="101">
        <f t="shared" si="14"/>
        <v>0</v>
      </c>
      <c r="X109" s="101">
        <f t="shared" si="14"/>
        <v>-48.170141940021708</v>
      </c>
      <c r="Y109" s="101">
        <f t="shared" si="14"/>
        <v>0</v>
      </c>
      <c r="AQ109" s="3"/>
    </row>
    <row r="110" spans="5:43" x14ac:dyDescent="0.25">
      <c r="E110" s="60"/>
      <c r="F110" t="s">
        <v>196</v>
      </c>
      <c r="G110" t="s">
        <v>172</v>
      </c>
      <c r="J110" s="101">
        <f t="shared" ref="J110:Y110" si="15">J$57 * J39 * J98 / hours_in_year / $H50</f>
        <v>0</v>
      </c>
      <c r="K110" s="101">
        <f t="shared" si="15"/>
        <v>0</v>
      </c>
      <c r="L110" s="101">
        <f t="shared" si="15"/>
        <v>0</v>
      </c>
      <c r="M110" s="101">
        <f t="shared" si="15"/>
        <v>0</v>
      </c>
      <c r="N110" s="101">
        <f t="shared" si="15"/>
        <v>0</v>
      </c>
      <c r="O110" s="101">
        <f t="shared" si="15"/>
        <v>0</v>
      </c>
      <c r="P110" s="101">
        <f t="shared" si="15"/>
        <v>0</v>
      </c>
      <c r="Q110" s="101">
        <f t="shared" si="15"/>
        <v>0</v>
      </c>
      <c r="R110" s="101">
        <f t="shared" si="15"/>
        <v>0</v>
      </c>
      <c r="S110" s="101">
        <f t="shared" si="15"/>
        <v>0</v>
      </c>
      <c r="T110" s="101">
        <f t="shared" si="15"/>
        <v>0</v>
      </c>
      <c r="U110" s="101">
        <f t="shared" si="15"/>
        <v>0</v>
      </c>
      <c r="V110" s="101">
        <f t="shared" si="15"/>
        <v>0</v>
      </c>
      <c r="W110" s="101">
        <f t="shared" si="15"/>
        <v>0</v>
      </c>
      <c r="X110" s="101">
        <f t="shared" si="15"/>
        <v>0</v>
      </c>
      <c r="Y110" s="101">
        <f t="shared" si="15"/>
        <v>0</v>
      </c>
      <c r="AQ110" s="3"/>
    </row>
    <row r="111" spans="5:43" x14ac:dyDescent="0.25">
      <c r="E111" s="60"/>
      <c r="F111" t="s">
        <v>197</v>
      </c>
      <c r="G111" t="s">
        <v>172</v>
      </c>
      <c r="J111" s="101">
        <f t="shared" ref="J111:Y111" si="16">J$57 * J40 * J99 / hours_in_year / $H51</f>
        <v>419.75756748184006</v>
      </c>
      <c r="K111" s="101">
        <f t="shared" si="16"/>
        <v>2.6886409766045878</v>
      </c>
      <c r="L111" s="101">
        <f t="shared" si="16"/>
        <v>188.87792499699293</v>
      </c>
      <c r="M111" s="101">
        <f t="shared" si="16"/>
        <v>1.4524367410954075</v>
      </c>
      <c r="N111" s="101">
        <f t="shared" si="16"/>
        <v>202.60715088419965</v>
      </c>
      <c r="O111" s="101">
        <f t="shared" si="16"/>
        <v>16.689726993878136</v>
      </c>
      <c r="P111" s="101">
        <f t="shared" si="16"/>
        <v>182.07332060308926</v>
      </c>
      <c r="Q111" s="101">
        <f t="shared" si="16"/>
        <v>7.5241958673710592</v>
      </c>
      <c r="R111" s="101">
        <f t="shared" si="16"/>
        <v>-9.1449463065504677</v>
      </c>
      <c r="S111" s="101">
        <f t="shared" si="16"/>
        <v>-2.6141323212572721E-2</v>
      </c>
      <c r="T111" s="101">
        <f t="shared" si="16"/>
        <v>-3.3822721188091665</v>
      </c>
      <c r="U111" s="101">
        <f t="shared" si="16"/>
        <v>0</v>
      </c>
      <c r="V111" s="101">
        <f t="shared" si="16"/>
        <v>-3.7569855442611107E-2</v>
      </c>
      <c r="W111" s="101">
        <f t="shared" si="16"/>
        <v>0</v>
      </c>
      <c r="X111" s="101">
        <f t="shared" si="16"/>
        <v>0</v>
      </c>
      <c r="Y111" s="101">
        <f t="shared" si="16"/>
        <v>0</v>
      </c>
      <c r="AQ111" s="3"/>
    </row>
    <row r="112" spans="5:43" x14ac:dyDescent="0.25">
      <c r="E112" s="60"/>
      <c r="F112" t="s">
        <v>198</v>
      </c>
      <c r="G112" t="s">
        <v>172</v>
      </c>
      <c r="J112" s="101">
        <f t="shared" ref="J112:Y112" si="17">J$57 * J41 * J100 / hours_in_year / $H52</f>
        <v>412.1183014069789</v>
      </c>
      <c r="K112" s="101">
        <f t="shared" si="17"/>
        <v>2.6397097710916686</v>
      </c>
      <c r="L112" s="101">
        <f t="shared" si="17"/>
        <v>185.44049149608978</v>
      </c>
      <c r="M112" s="101">
        <f t="shared" si="17"/>
        <v>1.4260035053858167</v>
      </c>
      <c r="N112" s="101">
        <f t="shared" si="17"/>
        <v>198.91985599262895</v>
      </c>
      <c r="O112" s="101">
        <f t="shared" si="17"/>
        <v>16.385986751652382</v>
      </c>
      <c r="P112" s="101">
        <f t="shared" si="17"/>
        <v>0</v>
      </c>
      <c r="Q112" s="101">
        <f t="shared" si="17"/>
        <v>7.3872612682522369</v>
      </c>
      <c r="R112" s="101">
        <f t="shared" si="17"/>
        <v>-8.978515291392938</v>
      </c>
      <c r="S112" s="101">
        <f t="shared" si="17"/>
        <v>0</v>
      </c>
      <c r="T112" s="101">
        <f t="shared" si="17"/>
        <v>-3.3207173580262408</v>
      </c>
      <c r="U112" s="101">
        <f t="shared" si="17"/>
        <v>0</v>
      </c>
      <c r="V112" s="101">
        <f t="shared" si="17"/>
        <v>0</v>
      </c>
      <c r="W112" s="101">
        <f t="shared" si="17"/>
        <v>0</v>
      </c>
      <c r="X112" s="101">
        <f t="shared" si="17"/>
        <v>0</v>
      </c>
      <c r="Y112" s="101">
        <f t="shared" si="17"/>
        <v>0</v>
      </c>
      <c r="AQ112" s="3"/>
    </row>
    <row r="113" spans="5:43" x14ac:dyDescent="0.25">
      <c r="E113" s="60"/>
      <c r="F113" s="91" t="s">
        <v>199</v>
      </c>
      <c r="G113" s="91" t="s">
        <v>172</v>
      </c>
      <c r="H113" s="91"/>
      <c r="I113" s="91"/>
      <c r="J113" s="193">
        <f t="shared" ref="J113:Y113" si="18">J$57 * J42 * J101 / hours_in_year / $H53</f>
        <v>387.96348662658795</v>
      </c>
      <c r="K113" s="193">
        <f t="shared" si="18"/>
        <v>2.4849927872134376</v>
      </c>
      <c r="L113" s="193">
        <f t="shared" si="18"/>
        <v>174.57157179613864</v>
      </c>
      <c r="M113" s="193">
        <f t="shared" si="18"/>
        <v>1.3424234983072973</v>
      </c>
      <c r="N113" s="193">
        <f t="shared" si="18"/>
        <v>187.26089238620798</v>
      </c>
      <c r="O113" s="193">
        <f t="shared" si="18"/>
        <v>0</v>
      </c>
      <c r="P113" s="193">
        <f t="shared" si="18"/>
        <v>0</v>
      </c>
      <c r="Q113" s="193">
        <f t="shared" si="18"/>
        <v>6.9542838269209515</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511</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191</v>
      </c>
      <c r="G116" s="90" t="s">
        <v>283</v>
      </c>
      <c r="H116" s="90"/>
      <c r="I116" s="90"/>
      <c r="J116" s="167">
        <f>'Pseudo-load coefficients'!J294</f>
        <v>1.8823355421454451E-2</v>
      </c>
      <c r="K116" s="167">
        <f>'Pseudo-load coefficients'!K294</f>
        <v>1.8823355421454451E-2</v>
      </c>
      <c r="L116" s="167">
        <f>'Pseudo-load coefficients'!L294</f>
        <v>2.1620502273009511E-2</v>
      </c>
      <c r="M116" s="167">
        <f>'Pseudo-load coefficients'!M294</f>
        <v>2.1620502273009511E-2</v>
      </c>
      <c r="N116" s="167">
        <f>'Pseudo-load coefficients'!N294</f>
        <v>1.892850562244499E-2</v>
      </c>
      <c r="O116" s="167">
        <f>'Pseudo-load coefficients'!O294</f>
        <v>1.6029261794500108E-2</v>
      </c>
      <c r="P116" s="167">
        <f>'Pseudo-load coefficients'!P294</f>
        <v>1.5791673825026605E-2</v>
      </c>
      <c r="Q116" s="167">
        <f>'Pseudo-load coefficients'!Q294</f>
        <v>1.5203280823562695E-2</v>
      </c>
      <c r="R116" s="167">
        <f>'Pseudo-load coefficients'!R294</f>
        <v>1.3899690305631009E-2</v>
      </c>
      <c r="S116" s="167">
        <f>'Pseudo-load coefficients'!S294</f>
        <v>1.3899690305631009E-2</v>
      </c>
      <c r="T116" s="167">
        <f>'Pseudo-load coefficients'!T294</f>
        <v>1.3899690305631009E-2</v>
      </c>
      <c r="U116" s="167">
        <f>'Pseudo-load coefficients'!U294</f>
        <v>1.3899690305631009E-2</v>
      </c>
      <c r="V116" s="167">
        <f>'Pseudo-load coefficients'!V294</f>
        <v>1.3899690305631009E-2</v>
      </c>
      <c r="W116" s="167">
        <f>'Pseudo-load coefficients'!W294</f>
        <v>1.3899690305631009E-2</v>
      </c>
      <c r="X116" s="167">
        <f>'Pseudo-load coefficients'!X294</f>
        <v>1.3899690305631009E-2</v>
      </c>
      <c r="Y116" s="167">
        <f>'Pseudo-load coefficients'!Y294</f>
        <v>1.3899690305631009E-2</v>
      </c>
      <c r="AQ116" s="3"/>
    </row>
    <row r="117" spans="5:43" x14ac:dyDescent="0.25">
      <c r="E117" s="60"/>
      <c r="F117" t="s">
        <v>192</v>
      </c>
      <c r="G117" t="s">
        <v>283</v>
      </c>
      <c r="J117" s="163">
        <f>'Pseudo-load coefficients'!J295</f>
        <v>0</v>
      </c>
      <c r="K117" s="163">
        <f>'Pseudo-load coefficients'!K295</f>
        <v>0</v>
      </c>
      <c r="L117" s="163">
        <f>'Pseudo-load coefficients'!L295</f>
        <v>0</v>
      </c>
      <c r="M117" s="163">
        <f>'Pseudo-load coefficients'!M295</f>
        <v>0</v>
      </c>
      <c r="N117" s="163">
        <f>'Pseudo-load coefficients'!N295</f>
        <v>0</v>
      </c>
      <c r="O117" s="163">
        <f>'Pseudo-load coefficients'!O295</f>
        <v>0</v>
      </c>
      <c r="P117" s="163">
        <f>'Pseudo-load coefficients'!P295</f>
        <v>0</v>
      </c>
      <c r="Q117" s="163">
        <f>'Pseudo-load coefficients'!Q295</f>
        <v>0</v>
      </c>
      <c r="R117" s="163">
        <f>'Pseudo-load coefficients'!R295</f>
        <v>0</v>
      </c>
      <c r="S117" s="163">
        <f>'Pseudo-load coefficients'!S295</f>
        <v>0</v>
      </c>
      <c r="T117" s="163">
        <f>'Pseudo-load coefficients'!T295</f>
        <v>0</v>
      </c>
      <c r="U117" s="163">
        <f>'Pseudo-load coefficients'!U295</f>
        <v>0</v>
      </c>
      <c r="V117" s="163">
        <f>'Pseudo-load coefficients'!V295</f>
        <v>0</v>
      </c>
      <c r="W117" s="163">
        <f>'Pseudo-load coefficients'!W295</f>
        <v>0</v>
      </c>
      <c r="X117" s="163">
        <f>'Pseudo-load coefficients'!X295</f>
        <v>0</v>
      </c>
      <c r="Y117" s="163">
        <f>'Pseudo-load coefficients'!Y295</f>
        <v>0</v>
      </c>
      <c r="AQ117" s="3"/>
    </row>
    <row r="118" spans="5:43" x14ac:dyDescent="0.25">
      <c r="E118" s="60"/>
      <c r="F118" t="s">
        <v>193</v>
      </c>
      <c r="G118" t="s">
        <v>283</v>
      </c>
      <c r="J118" s="163">
        <f>'Pseudo-load coefficients'!J296</f>
        <v>0</v>
      </c>
      <c r="K118" s="163">
        <f>'Pseudo-load coefficients'!K296</f>
        <v>0</v>
      </c>
      <c r="L118" s="163">
        <f>'Pseudo-load coefficients'!L296</f>
        <v>0</v>
      </c>
      <c r="M118" s="163">
        <f>'Pseudo-load coefficients'!M296</f>
        <v>0</v>
      </c>
      <c r="N118" s="163">
        <f>'Pseudo-load coefficients'!N296</f>
        <v>0</v>
      </c>
      <c r="O118" s="163">
        <f>'Pseudo-load coefficients'!O296</f>
        <v>0</v>
      </c>
      <c r="P118" s="163">
        <f>'Pseudo-load coefficients'!P296</f>
        <v>0</v>
      </c>
      <c r="Q118" s="163">
        <f>'Pseudo-load coefficients'!Q296</f>
        <v>0</v>
      </c>
      <c r="R118" s="163">
        <f>'Pseudo-load coefficients'!R296</f>
        <v>0</v>
      </c>
      <c r="S118" s="163">
        <f>'Pseudo-load coefficients'!S296</f>
        <v>0</v>
      </c>
      <c r="T118" s="163">
        <f>'Pseudo-load coefficients'!T296</f>
        <v>0</v>
      </c>
      <c r="U118" s="163">
        <f>'Pseudo-load coefficients'!U296</f>
        <v>0</v>
      </c>
      <c r="V118" s="163">
        <f>'Pseudo-load coefficients'!V296</f>
        <v>0</v>
      </c>
      <c r="W118" s="163">
        <f>'Pseudo-load coefficients'!W296</f>
        <v>0</v>
      </c>
      <c r="X118" s="163">
        <f>'Pseudo-load coefficients'!X296</f>
        <v>0</v>
      </c>
      <c r="Y118" s="163">
        <f>'Pseudo-load coefficients'!Y296</f>
        <v>0</v>
      </c>
      <c r="AQ118" s="3"/>
    </row>
    <row r="119" spans="5:43" x14ac:dyDescent="0.25">
      <c r="E119" s="60"/>
      <c r="F119" t="s">
        <v>194</v>
      </c>
      <c r="G119" t="s">
        <v>283</v>
      </c>
      <c r="J119" s="163">
        <f>'Pseudo-load coefficients'!J297</f>
        <v>1.8823355421454451E-2</v>
      </c>
      <c r="K119" s="163">
        <f>'Pseudo-load coefficients'!K297</f>
        <v>1.8823355421454451E-2</v>
      </c>
      <c r="L119" s="163">
        <f>'Pseudo-load coefficients'!L297</f>
        <v>2.1620502273009511E-2</v>
      </c>
      <c r="M119" s="163">
        <f>'Pseudo-load coefficients'!M297</f>
        <v>2.1620502273009511E-2</v>
      </c>
      <c r="N119" s="163">
        <f>'Pseudo-load coefficients'!N297</f>
        <v>1.892850562244499E-2</v>
      </c>
      <c r="O119" s="163">
        <f>'Pseudo-load coefficients'!O297</f>
        <v>1.6029261794500108E-2</v>
      </c>
      <c r="P119" s="163">
        <f>'Pseudo-load coefficients'!P297</f>
        <v>1.5791673825026605E-2</v>
      </c>
      <c r="Q119" s="163">
        <f>'Pseudo-load coefficients'!Q297</f>
        <v>1.5203280823562695E-2</v>
      </c>
      <c r="R119" s="163">
        <f>'Pseudo-load coefficients'!R297</f>
        <v>1.3899690305631009E-2</v>
      </c>
      <c r="S119" s="163">
        <f>'Pseudo-load coefficients'!S297</f>
        <v>1.3899690305631009E-2</v>
      </c>
      <c r="T119" s="163">
        <f>'Pseudo-load coefficients'!T297</f>
        <v>1.3899690305631009E-2</v>
      </c>
      <c r="U119" s="163">
        <f>'Pseudo-load coefficients'!U297</f>
        <v>1.3899690305631009E-2</v>
      </c>
      <c r="V119" s="163">
        <f>'Pseudo-load coefficients'!V297</f>
        <v>1.3899690305631009E-2</v>
      </c>
      <c r="W119" s="163">
        <f>'Pseudo-load coefficients'!W297</f>
        <v>1.3899690305631009E-2</v>
      </c>
      <c r="X119" s="163">
        <f>'Pseudo-load coefficients'!X297</f>
        <v>1.3899690305631009E-2</v>
      </c>
      <c r="Y119" s="163">
        <f>'Pseudo-load coefficients'!Y297</f>
        <v>1.3899690305631009E-2</v>
      </c>
      <c r="AQ119" s="3"/>
    </row>
    <row r="120" spans="5:43" x14ac:dyDescent="0.25">
      <c r="E120" s="60"/>
      <c r="F120" t="s">
        <v>195</v>
      </c>
      <c r="G120" t="s">
        <v>283</v>
      </c>
      <c r="J120" s="163">
        <f>'Pseudo-load coefficients'!J298</f>
        <v>2.5306573288918797E-2</v>
      </c>
      <c r="K120" s="163">
        <f>'Pseudo-load coefficients'!K298</f>
        <v>2.5306573288918797E-2</v>
      </c>
      <c r="L120" s="163">
        <f>'Pseudo-load coefficients'!L298</f>
        <v>2.9067125019141455E-2</v>
      </c>
      <c r="M120" s="163">
        <f>'Pseudo-load coefficients'!M298</f>
        <v>2.9067125019141455E-2</v>
      </c>
      <c r="N120" s="163">
        <f>'Pseudo-load coefficients'!N298</f>
        <v>2.5447939756699491E-2</v>
      </c>
      <c r="O120" s="163">
        <f>'Pseudo-load coefficients'!O298</f>
        <v>2.1550126387532207E-2</v>
      </c>
      <c r="P120" s="163">
        <f>'Pseudo-load coefficients'!P298</f>
        <v>2.1230707387708526E-2</v>
      </c>
      <c r="Q120" s="163">
        <f>'Pseudo-load coefficients'!Q298</f>
        <v>2.0439657636968457E-2</v>
      </c>
      <c r="R120" s="163">
        <f>'Pseudo-load coefficients'!R298</f>
        <v>1.8687079085368818E-2</v>
      </c>
      <c r="S120" s="163">
        <f>'Pseudo-load coefficients'!S298</f>
        <v>1.8687079085368818E-2</v>
      </c>
      <c r="T120" s="163">
        <f>'Pseudo-load coefficients'!T298</f>
        <v>1.8687079085368818E-2</v>
      </c>
      <c r="U120" s="163">
        <f>'Pseudo-load coefficients'!U298</f>
        <v>1.8687079085368818E-2</v>
      </c>
      <c r="V120" s="163">
        <f>'Pseudo-load coefficients'!V298</f>
        <v>1.8687079085368818E-2</v>
      </c>
      <c r="W120" s="163">
        <f>'Pseudo-load coefficients'!W298</f>
        <v>1.8687079085368818E-2</v>
      </c>
      <c r="X120" s="163">
        <f>'Pseudo-load coefficients'!X298</f>
        <v>1.8687079085368818E-2</v>
      </c>
      <c r="Y120" s="163">
        <f>'Pseudo-load coefficients'!Y298</f>
        <v>1.8687079085368818E-2</v>
      </c>
      <c r="AQ120" s="3"/>
    </row>
    <row r="121" spans="5:43" x14ac:dyDescent="0.25">
      <c r="E121" s="60"/>
      <c r="F121" t="s">
        <v>196</v>
      </c>
      <c r="G121" t="s">
        <v>283</v>
      </c>
      <c r="J121" s="163">
        <f>'Pseudo-load coefficients'!J299</f>
        <v>0</v>
      </c>
      <c r="K121" s="163">
        <f>'Pseudo-load coefficients'!K299</f>
        <v>0</v>
      </c>
      <c r="L121" s="163">
        <f>'Pseudo-load coefficients'!L299</f>
        <v>0</v>
      </c>
      <c r="M121" s="163">
        <f>'Pseudo-load coefficients'!M299</f>
        <v>0</v>
      </c>
      <c r="N121" s="163">
        <f>'Pseudo-load coefficients'!N299</f>
        <v>0</v>
      </c>
      <c r="O121" s="163">
        <f>'Pseudo-load coefficients'!O299</f>
        <v>0</v>
      </c>
      <c r="P121" s="163">
        <f>'Pseudo-load coefficients'!P299</f>
        <v>0</v>
      </c>
      <c r="Q121" s="163">
        <f>'Pseudo-load coefficients'!Q299</f>
        <v>0</v>
      </c>
      <c r="R121" s="163">
        <f>'Pseudo-load coefficients'!R299</f>
        <v>0</v>
      </c>
      <c r="S121" s="163">
        <f>'Pseudo-load coefficients'!S299</f>
        <v>0</v>
      </c>
      <c r="T121" s="163">
        <f>'Pseudo-load coefficients'!T299</f>
        <v>0</v>
      </c>
      <c r="U121" s="163">
        <f>'Pseudo-load coefficients'!U299</f>
        <v>0</v>
      </c>
      <c r="V121" s="163">
        <f>'Pseudo-load coefficients'!V299</f>
        <v>0</v>
      </c>
      <c r="W121" s="163">
        <f>'Pseudo-load coefficients'!W299</f>
        <v>0</v>
      </c>
      <c r="X121" s="163">
        <f>'Pseudo-load coefficients'!X299</f>
        <v>0</v>
      </c>
      <c r="Y121" s="163">
        <f>'Pseudo-load coefficients'!Y299</f>
        <v>0</v>
      </c>
      <c r="AQ121" s="3"/>
    </row>
    <row r="122" spans="5:43" x14ac:dyDescent="0.25">
      <c r="E122" s="60"/>
      <c r="F122" t="s">
        <v>197</v>
      </c>
      <c r="G122" t="s">
        <v>283</v>
      </c>
      <c r="J122" s="163">
        <f>'Pseudo-load coefficients'!J300</f>
        <v>2.5306573288918797E-2</v>
      </c>
      <c r="K122" s="163">
        <f>'Pseudo-load coefficients'!K300</f>
        <v>2.5306573288918797E-2</v>
      </c>
      <c r="L122" s="163">
        <f>'Pseudo-load coefficients'!L300</f>
        <v>2.9067125019141455E-2</v>
      </c>
      <c r="M122" s="163">
        <f>'Pseudo-load coefficients'!M300</f>
        <v>2.9067125019141455E-2</v>
      </c>
      <c r="N122" s="163">
        <f>'Pseudo-load coefficients'!N300</f>
        <v>2.5447939756699491E-2</v>
      </c>
      <c r="O122" s="163">
        <f>'Pseudo-load coefficients'!O300</f>
        <v>2.1550126387532207E-2</v>
      </c>
      <c r="P122" s="163">
        <f>'Pseudo-load coefficients'!P300</f>
        <v>2.1230707387708526E-2</v>
      </c>
      <c r="Q122" s="163">
        <f>'Pseudo-load coefficients'!Q300</f>
        <v>2.0439657636968457E-2</v>
      </c>
      <c r="R122" s="163">
        <f>'Pseudo-load coefficients'!R300</f>
        <v>1.8687079085368818E-2</v>
      </c>
      <c r="S122" s="163">
        <f>'Pseudo-load coefficients'!S300</f>
        <v>1.8687079085368818E-2</v>
      </c>
      <c r="T122" s="163">
        <f>'Pseudo-load coefficients'!T300</f>
        <v>1.8687079085368818E-2</v>
      </c>
      <c r="U122" s="163">
        <f>'Pseudo-load coefficients'!U300</f>
        <v>1.8687079085368818E-2</v>
      </c>
      <c r="V122" s="163">
        <f>'Pseudo-load coefficients'!V300</f>
        <v>1.8687079085368818E-2</v>
      </c>
      <c r="W122" s="163">
        <f>'Pseudo-load coefficients'!W300</f>
        <v>1.8687079085368818E-2</v>
      </c>
      <c r="X122" s="163">
        <f>'Pseudo-load coefficients'!X300</f>
        <v>1.8687079085368818E-2</v>
      </c>
      <c r="Y122" s="163">
        <f>'Pseudo-load coefficients'!Y300</f>
        <v>1.8687079085368818E-2</v>
      </c>
      <c r="AQ122" s="3"/>
    </row>
    <row r="123" spans="5:43" x14ac:dyDescent="0.25">
      <c r="E123" s="60"/>
      <c r="F123" t="s">
        <v>198</v>
      </c>
      <c r="G123" t="s">
        <v>283</v>
      </c>
      <c r="J123" s="163">
        <f>'Pseudo-load coefficients'!J301</f>
        <v>2.5306573288918797E-2</v>
      </c>
      <c r="K123" s="163">
        <f>'Pseudo-load coefficients'!K301</f>
        <v>2.5306573288918797E-2</v>
      </c>
      <c r="L123" s="163">
        <f>'Pseudo-load coefficients'!L301</f>
        <v>2.9067125019141455E-2</v>
      </c>
      <c r="M123" s="163">
        <f>'Pseudo-load coefficients'!M301</f>
        <v>2.9067125019141455E-2</v>
      </c>
      <c r="N123" s="163">
        <f>'Pseudo-load coefficients'!N301</f>
        <v>2.5447939756699491E-2</v>
      </c>
      <c r="O123" s="163">
        <f>'Pseudo-load coefficients'!O301</f>
        <v>2.1550126387532207E-2</v>
      </c>
      <c r="P123" s="163">
        <f>'Pseudo-load coefficients'!P301</f>
        <v>2.1230707387708526E-2</v>
      </c>
      <c r="Q123" s="163">
        <f>'Pseudo-load coefficients'!Q301</f>
        <v>2.0439657636968457E-2</v>
      </c>
      <c r="R123" s="163">
        <f>'Pseudo-load coefficients'!R301</f>
        <v>1.8687079085368818E-2</v>
      </c>
      <c r="S123" s="163">
        <f>'Pseudo-load coefficients'!S301</f>
        <v>1.8687079085368818E-2</v>
      </c>
      <c r="T123" s="163">
        <f>'Pseudo-load coefficients'!T301</f>
        <v>1.8687079085368818E-2</v>
      </c>
      <c r="U123" s="163">
        <f>'Pseudo-load coefficients'!U301</f>
        <v>1.8687079085368818E-2</v>
      </c>
      <c r="V123" s="163">
        <f>'Pseudo-load coefficients'!V301</f>
        <v>1.8687079085368818E-2</v>
      </c>
      <c r="W123" s="163">
        <f>'Pseudo-load coefficients'!W301</f>
        <v>1.8687079085368818E-2</v>
      </c>
      <c r="X123" s="163">
        <f>'Pseudo-load coefficients'!X301</f>
        <v>1.8687079085368818E-2</v>
      </c>
      <c r="Y123" s="163">
        <f>'Pseudo-load coefficients'!Y301</f>
        <v>1.8687079085368818E-2</v>
      </c>
      <c r="AQ123" s="3"/>
    </row>
    <row r="124" spans="5:43" x14ac:dyDescent="0.25">
      <c r="E124" s="60"/>
      <c r="F124" s="91" t="s">
        <v>199</v>
      </c>
      <c r="G124" s="91" t="s">
        <v>283</v>
      </c>
      <c r="H124" s="91"/>
      <c r="I124" s="91"/>
      <c r="J124" s="168">
        <f>'Pseudo-load coefficients'!J302</f>
        <v>2.5306573288918797E-2</v>
      </c>
      <c r="K124" s="168">
        <f>'Pseudo-load coefficients'!K302</f>
        <v>2.5306573288918797E-2</v>
      </c>
      <c r="L124" s="168">
        <f>'Pseudo-load coefficients'!L302</f>
        <v>2.9067125019141455E-2</v>
      </c>
      <c r="M124" s="168">
        <f>'Pseudo-load coefficients'!M302</f>
        <v>2.9067125019141455E-2</v>
      </c>
      <c r="N124" s="168">
        <f>'Pseudo-load coefficients'!N302</f>
        <v>2.5447939756699491E-2</v>
      </c>
      <c r="O124" s="168">
        <f>'Pseudo-load coefficients'!O302</f>
        <v>2.1550126387532207E-2</v>
      </c>
      <c r="P124" s="168">
        <f>'Pseudo-load coefficients'!P302</f>
        <v>2.1230707387708526E-2</v>
      </c>
      <c r="Q124" s="168">
        <f>'Pseudo-load coefficients'!Q302</f>
        <v>2.0439657636968457E-2</v>
      </c>
      <c r="R124" s="168">
        <f>'Pseudo-load coefficients'!R302</f>
        <v>1.8687079085368818E-2</v>
      </c>
      <c r="S124" s="168">
        <f>'Pseudo-load coefficients'!S302</f>
        <v>1.8687079085368818E-2</v>
      </c>
      <c r="T124" s="168">
        <f>'Pseudo-load coefficients'!T302</f>
        <v>1.8687079085368818E-2</v>
      </c>
      <c r="U124" s="168">
        <f>'Pseudo-load coefficients'!U302</f>
        <v>1.8687079085368818E-2</v>
      </c>
      <c r="V124" s="168">
        <f>'Pseudo-load coefficients'!V302</f>
        <v>1.8687079085368818E-2</v>
      </c>
      <c r="W124" s="168">
        <f>'Pseudo-load coefficients'!W302</f>
        <v>1.8687079085368818E-2</v>
      </c>
      <c r="X124" s="168">
        <f>'Pseudo-load coefficients'!X302</f>
        <v>1.8687079085368818E-2</v>
      </c>
      <c r="Y124" s="168">
        <f>'Pseudo-load coefficients'!Y302</f>
        <v>1.8687079085368818E-2</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512</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513</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191</v>
      </c>
      <c r="G128" s="90" t="s">
        <v>172</v>
      </c>
      <c r="H128" s="90"/>
      <c r="I128" s="90"/>
      <c r="J128" s="222">
        <f t="shared" ref="J128:Y128" si="19">J$58 * J34 * J116 / hours_in_year / $H45</f>
        <v>5.7827886154340806</v>
      </c>
      <c r="K128" s="222">
        <f t="shared" si="19"/>
        <v>0.38962782651739097</v>
      </c>
      <c r="L128" s="222">
        <f t="shared" si="19"/>
        <v>2.2501581208992572</v>
      </c>
      <c r="M128" s="222">
        <f t="shared" si="19"/>
        <v>9.1508042738038198E-2</v>
      </c>
      <c r="N128" s="222">
        <f t="shared" si="19"/>
        <v>2.5976926020081961</v>
      </c>
      <c r="O128" s="222">
        <f t="shared" si="19"/>
        <v>0.24375110708258568</v>
      </c>
      <c r="P128" s="222">
        <f t="shared" si="19"/>
        <v>2.8889446966534496</v>
      </c>
      <c r="Q128" s="222">
        <f t="shared" si="19"/>
        <v>0.26792255732613096</v>
      </c>
      <c r="R128" s="222">
        <f t="shared" si="19"/>
        <v>-6.0188592661689161E-2</v>
      </c>
      <c r="S128" s="222">
        <f t="shared" si="19"/>
        <v>-3.3374137272204016E-4</v>
      </c>
      <c r="T128" s="222">
        <f t="shared" si="19"/>
        <v>-5.1613414118749382E-2</v>
      </c>
      <c r="U128" s="222">
        <f t="shared" si="19"/>
        <v>0</v>
      </c>
      <c r="V128" s="222">
        <f t="shared" si="19"/>
        <v>-5.1309621444952725E-4</v>
      </c>
      <c r="W128" s="222">
        <f t="shared" si="19"/>
        <v>0</v>
      </c>
      <c r="X128" s="222">
        <f t="shared" si="19"/>
        <v>-0.79953191987853545</v>
      </c>
      <c r="Y128" s="222">
        <f t="shared" si="19"/>
        <v>0</v>
      </c>
      <c r="AQ128" s="3"/>
    </row>
    <row r="129" spans="3:43" x14ac:dyDescent="0.25">
      <c r="E129" s="60"/>
      <c r="F129" t="s">
        <v>192</v>
      </c>
      <c r="G129" t="s">
        <v>172</v>
      </c>
      <c r="J129" s="101">
        <f t="shared" ref="J129:Y129" si="20">J$58 * J35 * J117 / hours_in_year / $H46</f>
        <v>0</v>
      </c>
      <c r="K129" s="101">
        <f t="shared" si="20"/>
        <v>0</v>
      </c>
      <c r="L129" s="101">
        <f t="shared" si="20"/>
        <v>0</v>
      </c>
      <c r="M129" s="101">
        <f t="shared" si="20"/>
        <v>0</v>
      </c>
      <c r="N129" s="101">
        <f t="shared" si="20"/>
        <v>0</v>
      </c>
      <c r="O129" s="101">
        <f t="shared" si="20"/>
        <v>0</v>
      </c>
      <c r="P129" s="101">
        <f t="shared" si="20"/>
        <v>0</v>
      </c>
      <c r="Q129" s="101">
        <f t="shared" si="20"/>
        <v>0</v>
      </c>
      <c r="R129" s="101">
        <f t="shared" si="20"/>
        <v>0</v>
      </c>
      <c r="S129" s="101">
        <f t="shared" si="20"/>
        <v>0</v>
      </c>
      <c r="T129" s="101">
        <f t="shared" si="20"/>
        <v>0</v>
      </c>
      <c r="U129" s="101">
        <f t="shared" si="20"/>
        <v>0</v>
      </c>
      <c r="V129" s="101">
        <f t="shared" si="20"/>
        <v>0</v>
      </c>
      <c r="W129" s="101">
        <f t="shared" si="20"/>
        <v>0</v>
      </c>
      <c r="X129" s="101">
        <f t="shared" si="20"/>
        <v>0</v>
      </c>
      <c r="Y129" s="101">
        <f t="shared" si="20"/>
        <v>0</v>
      </c>
      <c r="AQ129" s="3"/>
    </row>
    <row r="130" spans="3:43" x14ac:dyDescent="0.25">
      <c r="E130" s="60"/>
      <c r="F130" t="s">
        <v>193</v>
      </c>
      <c r="G130" t="s">
        <v>172</v>
      </c>
      <c r="J130" s="101">
        <f t="shared" ref="J130:Y130" si="21">J$58 * J36 * J118 / hours_in_year / $H47</f>
        <v>0</v>
      </c>
      <c r="K130" s="101">
        <f t="shared" si="21"/>
        <v>0</v>
      </c>
      <c r="L130" s="101">
        <f t="shared" si="21"/>
        <v>0</v>
      </c>
      <c r="M130" s="101">
        <f t="shared" si="21"/>
        <v>0</v>
      </c>
      <c r="N130" s="101">
        <f t="shared" si="21"/>
        <v>0</v>
      </c>
      <c r="O130" s="101">
        <f t="shared" si="21"/>
        <v>0</v>
      </c>
      <c r="P130" s="101">
        <f t="shared" si="21"/>
        <v>0</v>
      </c>
      <c r="Q130" s="101">
        <f t="shared" si="21"/>
        <v>0</v>
      </c>
      <c r="R130" s="101">
        <f t="shared" si="21"/>
        <v>0</v>
      </c>
      <c r="S130" s="101">
        <f t="shared" si="21"/>
        <v>0</v>
      </c>
      <c r="T130" s="101">
        <f t="shared" si="21"/>
        <v>0</v>
      </c>
      <c r="U130" s="101">
        <f t="shared" si="21"/>
        <v>0</v>
      </c>
      <c r="V130" s="101">
        <f t="shared" si="21"/>
        <v>0</v>
      </c>
      <c r="W130" s="101">
        <f t="shared" si="21"/>
        <v>0</v>
      </c>
      <c r="X130" s="101">
        <f t="shared" si="21"/>
        <v>0</v>
      </c>
      <c r="Y130" s="101">
        <f t="shared" si="21"/>
        <v>0</v>
      </c>
      <c r="AQ130" s="3"/>
    </row>
    <row r="131" spans="3:43" x14ac:dyDescent="0.25">
      <c r="E131" s="60"/>
      <c r="F131" t="s">
        <v>194</v>
      </c>
      <c r="G131" t="s">
        <v>172</v>
      </c>
      <c r="J131" s="101">
        <f t="shared" ref="J131:Y131" si="22">J$58 * J37 * J119 / hours_in_year / $H48</f>
        <v>5.7654921390170299</v>
      </c>
      <c r="K131" s="101">
        <f t="shared" si="22"/>
        <v>0.38846243919979162</v>
      </c>
      <c r="L131" s="101">
        <f t="shared" si="22"/>
        <v>2.2434278373870962</v>
      </c>
      <c r="M131" s="101">
        <f t="shared" si="22"/>
        <v>9.1234339718881563E-2</v>
      </c>
      <c r="N131" s="101">
        <f t="shared" si="22"/>
        <v>2.5899228335076732</v>
      </c>
      <c r="O131" s="101">
        <f t="shared" si="22"/>
        <v>0.24302204095970659</v>
      </c>
      <c r="P131" s="101">
        <f t="shared" si="22"/>
        <v>2.8803037852975573</v>
      </c>
      <c r="Q131" s="101">
        <f t="shared" si="22"/>
        <v>0.26712119374489629</v>
      </c>
      <c r="R131" s="101">
        <f t="shared" si="22"/>
        <v>-6.0008566960806746E-2</v>
      </c>
      <c r="S131" s="101">
        <f t="shared" si="22"/>
        <v>-3.3274314329216371E-4</v>
      </c>
      <c r="T131" s="101">
        <f t="shared" si="22"/>
        <v>-5.1459037007726208E-2</v>
      </c>
      <c r="U131" s="101">
        <f t="shared" si="22"/>
        <v>0</v>
      </c>
      <c r="V131" s="101">
        <f t="shared" si="22"/>
        <v>-5.1156152985994748E-4</v>
      </c>
      <c r="W131" s="101">
        <f t="shared" si="22"/>
        <v>0</v>
      </c>
      <c r="X131" s="101">
        <f t="shared" si="22"/>
        <v>-0.79714049838338541</v>
      </c>
      <c r="Y131" s="101">
        <f t="shared" si="22"/>
        <v>0</v>
      </c>
      <c r="AQ131" s="3"/>
    </row>
    <row r="132" spans="3:43" x14ac:dyDescent="0.25">
      <c r="E132" s="60"/>
      <c r="F132" t="s">
        <v>195</v>
      </c>
      <c r="G132" t="s">
        <v>172</v>
      </c>
      <c r="J132" s="101">
        <f t="shared" ref="J132:Y132" si="23">J$58 * J38 * J120 / hours_in_year / $H49</f>
        <v>7.6747488346338688</v>
      </c>
      <c r="K132" s="101">
        <f t="shared" si="23"/>
        <v>0.51710271745439007</v>
      </c>
      <c r="L132" s="101">
        <f t="shared" si="23"/>
        <v>2.9863444031175592</v>
      </c>
      <c r="M132" s="101">
        <f t="shared" si="23"/>
        <v>0.12144681244079454</v>
      </c>
      <c r="N132" s="101">
        <f t="shared" si="23"/>
        <v>3.4475820570008668</v>
      </c>
      <c r="O132" s="101">
        <f t="shared" si="23"/>
        <v>0.32349937883426583</v>
      </c>
      <c r="P132" s="101">
        <f t="shared" si="23"/>
        <v>3.8341233647701696</v>
      </c>
      <c r="Q132" s="101">
        <f t="shared" si="23"/>
        <v>0.35557902447321249</v>
      </c>
      <c r="R132" s="101">
        <f t="shared" si="23"/>
        <v>-7.988054935220501E-2</v>
      </c>
      <c r="S132" s="101">
        <f t="shared" si="23"/>
        <v>-4.4293184166049909E-4</v>
      </c>
      <c r="T132" s="101">
        <f t="shared" si="23"/>
        <v>-6.8499821833728311E-2</v>
      </c>
      <c r="U132" s="101">
        <f t="shared" si="23"/>
        <v>0</v>
      </c>
      <c r="V132" s="101">
        <f t="shared" si="23"/>
        <v>-6.8096637034102702E-4</v>
      </c>
      <c r="W132" s="101">
        <f t="shared" si="23"/>
        <v>0</v>
      </c>
      <c r="X132" s="101">
        <f t="shared" si="23"/>
        <v>-1.0611155064466693</v>
      </c>
      <c r="Y132" s="101">
        <f t="shared" si="23"/>
        <v>0</v>
      </c>
      <c r="AQ132" s="3"/>
    </row>
    <row r="133" spans="3:43" x14ac:dyDescent="0.25">
      <c r="E133" s="60"/>
      <c r="F133" t="s">
        <v>196</v>
      </c>
      <c r="G133" t="s">
        <v>172</v>
      </c>
      <c r="J133" s="101">
        <f t="shared" ref="J133:Y133" si="24">J$58 * J39 * J121 / hours_in_year / $H50</f>
        <v>0</v>
      </c>
      <c r="K133" s="101">
        <f t="shared" si="24"/>
        <v>0</v>
      </c>
      <c r="L133" s="101">
        <f t="shared" si="24"/>
        <v>0</v>
      </c>
      <c r="M133" s="101">
        <f t="shared" si="24"/>
        <v>0</v>
      </c>
      <c r="N133" s="101">
        <f t="shared" si="24"/>
        <v>0</v>
      </c>
      <c r="O133" s="101">
        <f t="shared" si="24"/>
        <v>0</v>
      </c>
      <c r="P133" s="101">
        <f t="shared" si="24"/>
        <v>0</v>
      </c>
      <c r="Q133" s="101">
        <f t="shared" si="24"/>
        <v>0</v>
      </c>
      <c r="R133" s="101">
        <f t="shared" si="24"/>
        <v>0</v>
      </c>
      <c r="S133" s="101">
        <f t="shared" si="24"/>
        <v>0</v>
      </c>
      <c r="T133" s="101">
        <f t="shared" si="24"/>
        <v>0</v>
      </c>
      <c r="U133" s="101">
        <f t="shared" si="24"/>
        <v>0</v>
      </c>
      <c r="V133" s="101">
        <f t="shared" si="24"/>
        <v>0</v>
      </c>
      <c r="W133" s="101">
        <f t="shared" si="24"/>
        <v>0</v>
      </c>
      <c r="X133" s="101">
        <f t="shared" si="24"/>
        <v>0</v>
      </c>
      <c r="Y133" s="101">
        <f t="shared" si="24"/>
        <v>0</v>
      </c>
      <c r="AQ133" s="3"/>
    </row>
    <row r="134" spans="3:43" x14ac:dyDescent="0.25">
      <c r="E134" s="60"/>
      <c r="F134" t="s">
        <v>197</v>
      </c>
      <c r="G134" t="s">
        <v>172</v>
      </c>
      <c r="J134" s="101">
        <f t="shared" ref="J134:Y134" si="25">J$58 * J40 * J122 / hours_in_year / $H51</f>
        <v>7.584898116569863</v>
      </c>
      <c r="K134" s="101">
        <f t="shared" si="25"/>
        <v>0.51104883198175333</v>
      </c>
      <c r="L134" s="101">
        <f t="shared" si="25"/>
        <v>2.9513823223005731</v>
      </c>
      <c r="M134" s="101">
        <f t="shared" si="25"/>
        <v>0.12002499610002426</v>
      </c>
      <c r="N134" s="101">
        <f t="shared" si="25"/>
        <v>3.4072201207237836</v>
      </c>
      <c r="O134" s="101">
        <f t="shared" si="25"/>
        <v>0.31971206903327931</v>
      </c>
      <c r="P134" s="101">
        <f t="shared" si="25"/>
        <v>3.7892360668411529</v>
      </c>
      <c r="Q134" s="101">
        <f t="shared" si="25"/>
        <v>0.35141614808913585</v>
      </c>
      <c r="R134" s="101">
        <f t="shared" si="25"/>
        <v>-7.8945362432959687E-2</v>
      </c>
      <c r="S134" s="101">
        <f t="shared" si="25"/>
        <v>-4.3774629814837614E-4</v>
      </c>
      <c r="T134" s="101">
        <f t="shared" si="25"/>
        <v>-6.7697872700065151E-2</v>
      </c>
      <c r="U134" s="101">
        <f t="shared" si="25"/>
        <v>0</v>
      </c>
      <c r="V134" s="101">
        <f t="shared" si="25"/>
        <v>-6.729940811272784E-4</v>
      </c>
      <c r="W134" s="101">
        <f t="shared" si="25"/>
        <v>0</v>
      </c>
      <c r="X134" s="101">
        <f t="shared" si="25"/>
        <v>0</v>
      </c>
      <c r="Y134" s="101">
        <f t="shared" si="25"/>
        <v>0</v>
      </c>
      <c r="AQ134" s="3"/>
    </row>
    <row r="135" spans="3:43" x14ac:dyDescent="0.25">
      <c r="E135" s="60"/>
      <c r="F135" t="s">
        <v>198</v>
      </c>
      <c r="G135" t="s">
        <v>172</v>
      </c>
      <c r="J135" s="101">
        <f t="shared" ref="J135:Y135" si="26">J$58 * J41 * J123 / hours_in_year / $H52</f>
        <v>7.4468587830307555</v>
      </c>
      <c r="K135" s="101">
        <f t="shared" si="26"/>
        <v>0.50174813484798575</v>
      </c>
      <c r="L135" s="101">
        <f t="shared" si="26"/>
        <v>2.8976694256303519</v>
      </c>
      <c r="M135" s="101">
        <f t="shared" si="26"/>
        <v>0.11784063314418089</v>
      </c>
      <c r="N135" s="101">
        <f t="shared" si="26"/>
        <v>3.3452113254232545</v>
      </c>
      <c r="O135" s="101">
        <f t="shared" si="26"/>
        <v>0.31389355436696481</v>
      </c>
      <c r="P135" s="101">
        <f t="shared" si="26"/>
        <v>0</v>
      </c>
      <c r="Q135" s="101">
        <f t="shared" si="26"/>
        <v>0.34502064347831818</v>
      </c>
      <c r="R135" s="101">
        <f t="shared" si="26"/>
        <v>-7.7508617331210408E-2</v>
      </c>
      <c r="S135" s="101">
        <f t="shared" si="26"/>
        <v>0</v>
      </c>
      <c r="T135" s="101">
        <f t="shared" si="26"/>
        <v>-6.6465823292688478E-2</v>
      </c>
      <c r="U135" s="101">
        <f t="shared" si="26"/>
        <v>0</v>
      </c>
      <c r="V135" s="101">
        <f t="shared" si="26"/>
        <v>0</v>
      </c>
      <c r="W135" s="101">
        <f t="shared" si="26"/>
        <v>0</v>
      </c>
      <c r="X135" s="101">
        <f t="shared" si="26"/>
        <v>0</v>
      </c>
      <c r="Y135" s="101">
        <f t="shared" si="26"/>
        <v>0</v>
      </c>
      <c r="AQ135" s="3"/>
    </row>
    <row r="136" spans="3:43" x14ac:dyDescent="0.25">
      <c r="E136" s="60"/>
      <c r="F136" s="91" t="s">
        <v>199</v>
      </c>
      <c r="G136" s="91" t="s">
        <v>172</v>
      </c>
      <c r="H136" s="91"/>
      <c r="I136" s="91"/>
      <c r="J136" s="193">
        <f t="shared" ref="J136:Y136" si="27">J$58 * J42 * J124 / hours_in_year / $H53</f>
        <v>7.0103882502110988</v>
      </c>
      <c r="K136" s="193">
        <f t="shared" si="27"/>
        <v>0.47233999349079991</v>
      </c>
      <c r="L136" s="193">
        <f t="shared" si="27"/>
        <v>2.7278330751650923</v>
      </c>
      <c r="M136" s="193">
        <f t="shared" si="27"/>
        <v>0.11093383318532449</v>
      </c>
      <c r="N136" s="193">
        <f t="shared" si="27"/>
        <v>3.1491439348438934</v>
      </c>
      <c r="O136" s="193">
        <f t="shared" si="27"/>
        <v>0</v>
      </c>
      <c r="P136" s="193">
        <f t="shared" si="27"/>
        <v>0</v>
      </c>
      <c r="Q136" s="193">
        <f t="shared" si="27"/>
        <v>0.32479851378842578</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514</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515</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191</v>
      </c>
      <c r="G142" s="90" t="s">
        <v>172</v>
      </c>
      <c r="H142" s="90"/>
      <c r="I142" s="90"/>
      <c r="J142" s="222">
        <f t="shared" ref="J142:Y142" si="28">J82 + J105 + J128</f>
        <v>1325.6778380304568</v>
      </c>
      <c r="K142" s="222">
        <f t="shared" si="28"/>
        <v>2.9439383576374891</v>
      </c>
      <c r="L142" s="222">
        <f t="shared" si="28"/>
        <v>440.47473935541382</v>
      </c>
      <c r="M142" s="222">
        <f t="shared" si="28"/>
        <v>1.8171129347103114</v>
      </c>
      <c r="N142" s="222">
        <f t="shared" si="28"/>
        <v>499.89033681216051</v>
      </c>
      <c r="O142" s="222">
        <f t="shared" si="28"/>
        <v>42.178121922561424</v>
      </c>
      <c r="P142" s="222">
        <f t="shared" si="28"/>
        <v>459.49278266319345</v>
      </c>
      <c r="Q142" s="222">
        <f t="shared" si="28"/>
        <v>40.504828373888792</v>
      </c>
      <c r="R142" s="222">
        <f t="shared" si="28"/>
        <v>-20.512040438595292</v>
      </c>
      <c r="S142" s="222">
        <f t="shared" si="28"/>
        <v>-6.9320755380213622E-2</v>
      </c>
      <c r="T142" s="222">
        <f t="shared" si="28"/>
        <v>-8.4393900481561896</v>
      </c>
      <c r="U142" s="222">
        <f t="shared" si="28"/>
        <v>0</v>
      </c>
      <c r="V142" s="222">
        <f t="shared" si="28"/>
        <v>-8.92916101657064E-2</v>
      </c>
      <c r="W142" s="222">
        <f t="shared" si="28"/>
        <v>0</v>
      </c>
      <c r="X142" s="222">
        <f t="shared" si="28"/>
        <v>-144.90747937650062</v>
      </c>
      <c r="Y142" s="222">
        <f t="shared" si="28"/>
        <v>0</v>
      </c>
      <c r="AQ142" s="3"/>
    </row>
    <row r="143" spans="3:43" x14ac:dyDescent="0.25">
      <c r="C143" s="60"/>
      <c r="F143" t="s">
        <v>192</v>
      </c>
      <c r="G143" t="s">
        <v>172</v>
      </c>
      <c r="J143" s="101">
        <f t="shared" ref="J143:Y143" si="29">J83 + J106 + J129</f>
        <v>0</v>
      </c>
      <c r="K143" s="101">
        <f t="shared" si="29"/>
        <v>0</v>
      </c>
      <c r="L143" s="101">
        <f t="shared" si="29"/>
        <v>0</v>
      </c>
      <c r="M143" s="101">
        <f t="shared" si="29"/>
        <v>0</v>
      </c>
      <c r="N143" s="101">
        <f t="shared" si="29"/>
        <v>0</v>
      </c>
      <c r="O143" s="101">
        <f t="shared" si="29"/>
        <v>0</v>
      </c>
      <c r="P143" s="101">
        <f t="shared" si="29"/>
        <v>0</v>
      </c>
      <c r="Q143" s="101">
        <f t="shared" si="29"/>
        <v>0</v>
      </c>
      <c r="R143" s="101">
        <f t="shared" si="29"/>
        <v>0</v>
      </c>
      <c r="S143" s="101">
        <f t="shared" si="29"/>
        <v>0</v>
      </c>
      <c r="T143" s="101">
        <f t="shared" si="29"/>
        <v>0</v>
      </c>
      <c r="U143" s="101">
        <f t="shared" si="29"/>
        <v>0</v>
      </c>
      <c r="V143" s="101">
        <f t="shared" si="29"/>
        <v>0</v>
      </c>
      <c r="W143" s="101">
        <f t="shared" si="29"/>
        <v>0</v>
      </c>
      <c r="X143" s="101">
        <f t="shared" si="29"/>
        <v>0</v>
      </c>
      <c r="Y143" s="101">
        <f t="shared" si="29"/>
        <v>0</v>
      </c>
      <c r="AQ143" s="3"/>
    </row>
    <row r="144" spans="3:43" x14ac:dyDescent="0.25">
      <c r="C144" s="60"/>
      <c r="F144" t="s">
        <v>193</v>
      </c>
      <c r="G144" t="s">
        <v>172</v>
      </c>
      <c r="J144" s="101">
        <f t="shared" ref="J144:Y144" si="30">J84 + J107 + J130</f>
        <v>0</v>
      </c>
      <c r="K144" s="101">
        <f t="shared" si="30"/>
        <v>0</v>
      </c>
      <c r="L144" s="101">
        <f t="shared" si="30"/>
        <v>0</v>
      </c>
      <c r="M144" s="101">
        <f t="shared" si="30"/>
        <v>0</v>
      </c>
      <c r="N144" s="101">
        <f t="shared" si="30"/>
        <v>0</v>
      </c>
      <c r="O144" s="101">
        <f t="shared" si="30"/>
        <v>0</v>
      </c>
      <c r="P144" s="101">
        <f t="shared" si="30"/>
        <v>0</v>
      </c>
      <c r="Q144" s="101">
        <f t="shared" si="30"/>
        <v>0</v>
      </c>
      <c r="R144" s="101">
        <f t="shared" si="30"/>
        <v>0</v>
      </c>
      <c r="S144" s="101">
        <f t="shared" si="30"/>
        <v>0</v>
      </c>
      <c r="T144" s="101">
        <f t="shared" si="30"/>
        <v>0</v>
      </c>
      <c r="U144" s="101">
        <f t="shared" si="30"/>
        <v>0</v>
      </c>
      <c r="V144" s="101">
        <f t="shared" si="30"/>
        <v>0</v>
      </c>
      <c r="W144" s="101">
        <f t="shared" si="30"/>
        <v>0</v>
      </c>
      <c r="X144" s="101">
        <f t="shared" si="30"/>
        <v>0</v>
      </c>
      <c r="Y144" s="101">
        <f t="shared" si="30"/>
        <v>0</v>
      </c>
      <c r="AQ144" s="3"/>
    </row>
    <row r="145" spans="3:43" x14ac:dyDescent="0.25">
      <c r="C145" s="60"/>
      <c r="F145" t="s">
        <v>194</v>
      </c>
      <c r="G145" t="s">
        <v>172</v>
      </c>
      <c r="J145" s="101">
        <f t="shared" ref="J145:Y145" si="31">J85 + J108 + J131</f>
        <v>1321.7126999306647</v>
      </c>
      <c r="K145" s="101">
        <f t="shared" si="31"/>
        <v>2.9351329587612058</v>
      </c>
      <c r="L145" s="101">
        <f t="shared" si="31"/>
        <v>439.15726755275557</v>
      </c>
      <c r="M145" s="101">
        <f t="shared" si="31"/>
        <v>1.8116779010072896</v>
      </c>
      <c r="N145" s="101">
        <f t="shared" si="31"/>
        <v>498.39515135808631</v>
      </c>
      <c r="O145" s="101">
        <f t="shared" si="31"/>
        <v>42.05196602448796</v>
      </c>
      <c r="P145" s="101">
        <f t="shared" si="31"/>
        <v>458.11842738105037</v>
      </c>
      <c r="Q145" s="101">
        <f t="shared" si="31"/>
        <v>40.383677341863212</v>
      </c>
      <c r="R145" s="101">
        <f t="shared" si="31"/>
        <v>-20.450688373474872</v>
      </c>
      <c r="S145" s="101">
        <f t="shared" si="31"/>
        <v>-6.9113415134809189E-2</v>
      </c>
      <c r="T145" s="101">
        <f t="shared" si="31"/>
        <v>-8.4141476053401707</v>
      </c>
      <c r="U145" s="101">
        <f t="shared" si="31"/>
        <v>0</v>
      </c>
      <c r="V145" s="101">
        <f t="shared" si="31"/>
        <v>-8.9024536556038286E-2</v>
      </c>
      <c r="W145" s="101">
        <f t="shared" si="31"/>
        <v>0</v>
      </c>
      <c r="X145" s="101">
        <f t="shared" si="31"/>
        <v>-144.47405720488595</v>
      </c>
      <c r="Y145" s="101">
        <f t="shared" si="31"/>
        <v>0</v>
      </c>
      <c r="AQ145" s="3"/>
    </row>
    <row r="146" spans="3:43" x14ac:dyDescent="0.25">
      <c r="C146" s="60"/>
      <c r="F146" t="s">
        <v>195</v>
      </c>
      <c r="G146" t="s">
        <v>172</v>
      </c>
      <c r="J146" s="101">
        <f t="shared" ref="J146:Y146" si="32">J86 + J109 + J132</f>
        <v>1266.400815237376</v>
      </c>
      <c r="K146" s="101">
        <f t="shared" si="32"/>
        <v>3.9065299977751629</v>
      </c>
      <c r="L146" s="101">
        <f t="shared" si="32"/>
        <v>446.06278341706883</v>
      </c>
      <c r="M146" s="101">
        <f t="shared" si="32"/>
        <v>2.2262945541980135</v>
      </c>
      <c r="N146" s="101">
        <f t="shared" si="32"/>
        <v>500.2854135679321</v>
      </c>
      <c r="O146" s="101">
        <f t="shared" si="32"/>
        <v>42.018692594404818</v>
      </c>
      <c r="P146" s="101">
        <f t="shared" si="32"/>
        <v>458.00982886789251</v>
      </c>
      <c r="Q146" s="101">
        <f t="shared" si="32"/>
        <v>36.4236217387407</v>
      </c>
      <c r="R146" s="101">
        <f t="shared" si="32"/>
        <v>-20.925891683821746</v>
      </c>
      <c r="S146" s="101">
        <f t="shared" si="32"/>
        <v>-6.83680899552499E-2</v>
      </c>
      <c r="T146" s="101">
        <f t="shared" si="32"/>
        <v>-8.4307789756425251</v>
      </c>
      <c r="U146" s="101">
        <f t="shared" si="32"/>
        <v>0</v>
      </c>
      <c r="V146" s="101">
        <f t="shared" si="32"/>
        <v>-9.0089567736547652E-2</v>
      </c>
      <c r="W146" s="101">
        <f t="shared" si="32"/>
        <v>0</v>
      </c>
      <c r="X146" s="101">
        <f t="shared" si="32"/>
        <v>-139.39331845838282</v>
      </c>
      <c r="Y146" s="101">
        <f t="shared" si="32"/>
        <v>0</v>
      </c>
      <c r="AQ146" s="3"/>
    </row>
    <row r="147" spans="3:43" x14ac:dyDescent="0.25">
      <c r="C147" s="60"/>
      <c r="F147" t="s">
        <v>196</v>
      </c>
      <c r="G147" t="s">
        <v>172</v>
      </c>
      <c r="H147" s="92"/>
      <c r="J147" s="101">
        <f t="shared" ref="J147:Y147" si="33">J87 + J110 + J133</f>
        <v>0</v>
      </c>
      <c r="K147" s="101">
        <f t="shared" si="33"/>
        <v>0</v>
      </c>
      <c r="L147" s="101">
        <f t="shared" si="33"/>
        <v>0</v>
      </c>
      <c r="M147" s="101">
        <f t="shared" si="33"/>
        <v>0</v>
      </c>
      <c r="N147" s="101">
        <f t="shared" si="33"/>
        <v>0</v>
      </c>
      <c r="O147" s="101">
        <f t="shared" si="33"/>
        <v>0</v>
      </c>
      <c r="P147" s="101">
        <f t="shared" si="33"/>
        <v>0</v>
      </c>
      <c r="Q147" s="101">
        <f t="shared" si="33"/>
        <v>0</v>
      </c>
      <c r="R147" s="101">
        <f t="shared" si="33"/>
        <v>0</v>
      </c>
      <c r="S147" s="101">
        <f t="shared" si="33"/>
        <v>0</v>
      </c>
      <c r="T147" s="101">
        <f t="shared" si="33"/>
        <v>0</v>
      </c>
      <c r="U147" s="101">
        <f t="shared" si="33"/>
        <v>0</v>
      </c>
      <c r="V147" s="101">
        <f t="shared" si="33"/>
        <v>0</v>
      </c>
      <c r="W147" s="101">
        <f t="shared" si="33"/>
        <v>0</v>
      </c>
      <c r="X147" s="101">
        <f t="shared" si="33"/>
        <v>0</v>
      </c>
      <c r="Y147" s="101">
        <f t="shared" si="33"/>
        <v>0</v>
      </c>
      <c r="AQ147" s="3"/>
    </row>
    <row r="148" spans="3:43" x14ac:dyDescent="0.25">
      <c r="C148" s="60"/>
      <c r="F148" t="s">
        <v>197</v>
      </c>
      <c r="G148" t="s">
        <v>172</v>
      </c>
      <c r="J148" s="101">
        <f t="shared" ref="J148:Y148" si="34">J88 + J111 + J134</f>
        <v>1251.5746593516701</v>
      </c>
      <c r="K148" s="101">
        <f t="shared" si="34"/>
        <v>3.8607950124353563</v>
      </c>
      <c r="L148" s="101">
        <f t="shared" si="34"/>
        <v>440.84058497706405</v>
      </c>
      <c r="M148" s="101">
        <f t="shared" si="34"/>
        <v>2.2002306179537441</v>
      </c>
      <c r="N148" s="101">
        <f>N88 + N111 + N134</f>
        <v>494.42841360420988</v>
      </c>
      <c r="O148" s="101">
        <f t="shared" si="34"/>
        <v>41.526766437202035</v>
      </c>
      <c r="P148" s="101">
        <f t="shared" si="34"/>
        <v>452.6477625787075</v>
      </c>
      <c r="Q148" s="101">
        <f t="shared" si="34"/>
        <v>35.997198850092026</v>
      </c>
      <c r="R148" s="101">
        <f t="shared" si="34"/>
        <v>-20.680905634840421</v>
      </c>
      <c r="S148" s="101">
        <f t="shared" si="34"/>
        <v>-6.7567683048456728E-2</v>
      </c>
      <c r="T148" s="101">
        <f t="shared" si="34"/>
        <v>-8.3320771730008563</v>
      </c>
      <c r="U148" s="101">
        <f t="shared" si="34"/>
        <v>0</v>
      </c>
      <c r="V148" s="101">
        <f t="shared" si="34"/>
        <v>-8.9034860602070998E-2</v>
      </c>
      <c r="W148" s="101">
        <f t="shared" si="34"/>
        <v>0</v>
      </c>
      <c r="X148" s="101">
        <f t="shared" si="34"/>
        <v>0</v>
      </c>
      <c r="Y148" s="101">
        <f t="shared" si="34"/>
        <v>0</v>
      </c>
      <c r="AQ148" s="3"/>
    </row>
    <row r="149" spans="3:43" x14ac:dyDescent="0.25">
      <c r="C149" s="60"/>
      <c r="F149" t="s">
        <v>198</v>
      </c>
      <c r="G149" t="s">
        <v>172</v>
      </c>
      <c r="J149" s="101">
        <f t="shared" ref="J149:Y149" si="35">J89 + J112 + J135</f>
        <v>1228.7969596125113</v>
      </c>
      <c r="K149" s="101">
        <f t="shared" si="35"/>
        <v>3.7905315016726431</v>
      </c>
      <c r="L149" s="101">
        <f t="shared" si="35"/>
        <v>432.81762413935888</v>
      </c>
      <c r="M149" s="101">
        <f t="shared" si="35"/>
        <v>2.1601881067074595</v>
      </c>
      <c r="N149" s="101">
        <f t="shared" si="35"/>
        <v>485.43019534896081</v>
      </c>
      <c r="O149" s="101">
        <f t="shared" si="35"/>
        <v>40.771011109321911</v>
      </c>
      <c r="P149" s="101">
        <f t="shared" si="35"/>
        <v>0</v>
      </c>
      <c r="Q149" s="101">
        <f t="shared" si="35"/>
        <v>35.342077415080773</v>
      </c>
      <c r="R149" s="101">
        <f t="shared" si="35"/>
        <v>-20.304528999723587</v>
      </c>
      <c r="S149" s="101">
        <f t="shared" si="35"/>
        <v>0</v>
      </c>
      <c r="T149" s="101">
        <f t="shared" si="35"/>
        <v>-8.1804397531857056</v>
      </c>
      <c r="U149" s="101">
        <f t="shared" si="35"/>
        <v>0</v>
      </c>
      <c r="V149" s="101">
        <f t="shared" si="35"/>
        <v>0</v>
      </c>
      <c r="W149" s="101">
        <f t="shared" si="35"/>
        <v>0</v>
      </c>
      <c r="X149" s="101">
        <f t="shared" si="35"/>
        <v>0</v>
      </c>
      <c r="Y149" s="101">
        <f t="shared" si="35"/>
        <v>0</v>
      </c>
      <c r="AQ149" s="3"/>
    </row>
    <row r="150" spans="3:43" x14ac:dyDescent="0.25">
      <c r="C150" s="60"/>
      <c r="F150" s="91" t="s">
        <v>199</v>
      </c>
      <c r="G150" s="91" t="s">
        <v>172</v>
      </c>
      <c r="H150" s="91"/>
      <c r="I150" s="91"/>
      <c r="J150" s="193">
        <f t="shared" ref="J150:Y150" si="36">J90 + J113 + J136</f>
        <v>1156.7754966956372</v>
      </c>
      <c r="K150" s="193">
        <f t="shared" si="36"/>
        <v>3.5683632892211357</v>
      </c>
      <c r="L150" s="193">
        <f t="shared" si="36"/>
        <v>407.44959386969401</v>
      </c>
      <c r="M150" s="193">
        <f t="shared" si="36"/>
        <v>2.0335765404892587</v>
      </c>
      <c r="N150" s="193">
        <f t="shared" si="36"/>
        <v>456.97847064410746</v>
      </c>
      <c r="O150" s="193">
        <f t="shared" si="36"/>
        <v>0</v>
      </c>
      <c r="P150" s="193">
        <f t="shared" si="36"/>
        <v>0</v>
      </c>
      <c r="Q150" s="193">
        <f t="shared" si="36"/>
        <v>33.27063013646918</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516</v>
      </c>
      <c r="J152" s="92"/>
      <c r="K152" s="92"/>
      <c r="L152" s="92"/>
      <c r="M152" s="92"/>
      <c r="N152" s="92"/>
      <c r="O152" s="92"/>
      <c r="P152" s="92"/>
      <c r="Q152" s="92"/>
      <c r="R152" s="92"/>
      <c r="S152" s="92"/>
      <c r="T152" s="92"/>
      <c r="U152" s="92"/>
      <c r="V152" s="92"/>
      <c r="W152" s="92"/>
      <c r="X152" s="92"/>
      <c r="Y152" s="92"/>
      <c r="AQ152" s="3"/>
    </row>
    <row r="153" spans="3:43" x14ac:dyDescent="0.25">
      <c r="E153" s="71" t="s">
        <v>517</v>
      </c>
      <c r="J153" s="92"/>
      <c r="K153" s="92"/>
      <c r="L153" s="92"/>
      <c r="M153" s="92"/>
      <c r="N153" s="92"/>
      <c r="O153" s="92"/>
      <c r="P153" s="92"/>
      <c r="Q153" s="92"/>
      <c r="R153" s="92"/>
      <c r="S153" s="92"/>
      <c r="T153" s="92"/>
      <c r="U153" s="92"/>
      <c r="V153" s="92"/>
      <c r="W153" s="92"/>
      <c r="X153" s="92"/>
      <c r="Y153" s="92"/>
      <c r="AQ153" s="3"/>
    </row>
    <row r="154" spans="3:43" x14ac:dyDescent="0.25">
      <c r="C154" s="60"/>
      <c r="F154" s="90" t="s">
        <v>191</v>
      </c>
      <c r="G154" s="90" t="s">
        <v>518</v>
      </c>
      <c r="H154" s="145">
        <f t="shared" ref="H154:H162" si="37">SUM(J142:Y142) * thousand</f>
        <v>2638962.1762212235</v>
      </c>
      <c r="J154" s="92"/>
      <c r="K154" s="92"/>
      <c r="L154" s="92"/>
      <c r="M154" s="92"/>
      <c r="N154" s="92"/>
      <c r="O154" s="92"/>
      <c r="P154" s="92"/>
      <c r="Q154" s="92"/>
      <c r="R154" s="92"/>
      <c r="S154" s="92"/>
      <c r="T154" s="92"/>
      <c r="U154" s="92"/>
      <c r="V154" s="92"/>
      <c r="W154" s="92"/>
      <c r="X154" s="92"/>
      <c r="Y154" s="92"/>
      <c r="AQ154" s="3"/>
    </row>
    <row r="155" spans="3:43" x14ac:dyDescent="0.25">
      <c r="C155" s="60"/>
      <c r="F155" t="s">
        <v>192</v>
      </c>
      <c r="G155" t="s">
        <v>518</v>
      </c>
      <c r="H155" s="164">
        <f t="shared" si="37"/>
        <v>0</v>
      </c>
      <c r="J155" s="92"/>
      <c r="K155" s="92"/>
      <c r="L155" s="92"/>
      <c r="M155" s="92"/>
      <c r="N155" s="92"/>
      <c r="O155" s="92"/>
      <c r="P155" s="92"/>
      <c r="Q155" s="92"/>
      <c r="R155" s="92"/>
      <c r="S155" s="92"/>
      <c r="T155" s="92"/>
      <c r="U155" s="92"/>
      <c r="V155" s="92"/>
      <c r="W155" s="92"/>
      <c r="X155" s="92"/>
      <c r="Y155" s="92"/>
      <c r="AQ155" s="3"/>
    </row>
    <row r="156" spans="3:43" x14ac:dyDescent="0.25">
      <c r="C156" s="60"/>
      <c r="F156" t="s">
        <v>193</v>
      </c>
      <c r="G156" t="s">
        <v>518</v>
      </c>
      <c r="H156" s="164">
        <f t="shared" si="37"/>
        <v>0</v>
      </c>
      <c r="J156" s="92"/>
      <c r="K156" s="92"/>
      <c r="L156" s="92"/>
      <c r="M156" s="92"/>
      <c r="N156" s="92"/>
      <c r="O156" s="92"/>
      <c r="P156" s="92"/>
      <c r="Q156" s="92"/>
      <c r="R156" s="92"/>
      <c r="S156" s="92"/>
      <c r="T156" s="92"/>
      <c r="U156" s="92"/>
      <c r="V156" s="92"/>
      <c r="W156" s="92"/>
      <c r="X156" s="92"/>
      <c r="Y156" s="92"/>
      <c r="AQ156" s="3"/>
    </row>
    <row r="157" spans="3:43" x14ac:dyDescent="0.25">
      <c r="C157" s="60"/>
      <c r="F157" t="s">
        <v>194</v>
      </c>
      <c r="G157" t="s">
        <v>518</v>
      </c>
      <c r="H157" s="164">
        <f t="shared" si="37"/>
        <v>2631068.9693132853</v>
      </c>
      <c r="J157" s="92"/>
      <c r="K157" s="92"/>
      <c r="L157" s="92"/>
      <c r="M157" s="92"/>
      <c r="N157" s="92"/>
      <c r="O157" s="92"/>
      <c r="P157" s="92"/>
      <c r="Q157" s="92"/>
      <c r="R157" s="92"/>
      <c r="S157" s="92"/>
      <c r="T157" s="92"/>
      <c r="U157" s="92"/>
      <c r="V157" s="92"/>
      <c r="W157" s="92"/>
      <c r="X157" s="92"/>
      <c r="Y157" s="92"/>
      <c r="AQ157" s="3"/>
    </row>
    <row r="158" spans="3:43" x14ac:dyDescent="0.25">
      <c r="C158" s="60"/>
      <c r="F158" t="s">
        <v>195</v>
      </c>
      <c r="G158" t="s">
        <v>518</v>
      </c>
      <c r="H158" s="164">
        <f t="shared" si="37"/>
        <v>2586425.5331998491</v>
      </c>
      <c r="J158" s="92"/>
      <c r="K158" s="92"/>
      <c r="L158" s="92"/>
      <c r="M158" s="92"/>
      <c r="N158" s="92"/>
      <c r="O158" s="92"/>
      <c r="P158" s="92"/>
      <c r="Q158" s="92"/>
      <c r="R158" s="92"/>
      <c r="S158" s="92"/>
      <c r="T158" s="92"/>
      <c r="U158" s="92"/>
      <c r="V158" s="92"/>
      <c r="W158" s="92"/>
      <c r="X158" s="92"/>
      <c r="Y158" s="92"/>
      <c r="AQ158" s="3"/>
    </row>
    <row r="159" spans="3:43" x14ac:dyDescent="0.25">
      <c r="C159" s="60"/>
      <c r="F159" t="s">
        <v>196</v>
      </c>
      <c r="G159" t="s">
        <v>518</v>
      </c>
      <c r="H159" s="164">
        <f t="shared" si="37"/>
        <v>0</v>
      </c>
      <c r="J159" s="92"/>
      <c r="K159" s="92"/>
      <c r="L159" s="92"/>
      <c r="M159" s="92"/>
      <c r="N159" s="92"/>
      <c r="O159" s="92"/>
      <c r="P159" s="92"/>
      <c r="Q159" s="92"/>
      <c r="R159" s="92"/>
      <c r="S159" s="92"/>
      <c r="T159" s="92"/>
      <c r="U159" s="92"/>
      <c r="V159" s="92"/>
      <c r="W159" s="92"/>
      <c r="X159" s="92"/>
      <c r="Y159" s="92"/>
      <c r="AQ159" s="3"/>
    </row>
    <row r="160" spans="3:43" x14ac:dyDescent="0.25">
      <c r="C160" s="60"/>
      <c r="F160" t="s">
        <v>197</v>
      </c>
      <c r="G160" t="s">
        <v>518</v>
      </c>
      <c r="H160" s="164">
        <f t="shared" si="37"/>
        <v>2693906.8260778431</v>
      </c>
      <c r="J160" s="92"/>
      <c r="K160" s="92"/>
      <c r="L160" s="92"/>
      <c r="M160" s="92"/>
      <c r="N160" s="92"/>
      <c r="O160" s="92"/>
      <c r="P160" s="92"/>
      <c r="Q160" s="92"/>
      <c r="R160" s="92"/>
      <c r="S160" s="92"/>
      <c r="T160" s="92"/>
      <c r="U160" s="92"/>
      <c r="V160" s="92"/>
      <c r="W160" s="92"/>
      <c r="X160" s="92"/>
      <c r="Y160" s="92"/>
      <c r="AQ160" s="3"/>
    </row>
    <row r="161" spans="3:43" x14ac:dyDescent="0.25">
      <c r="C161" s="60"/>
      <c r="F161" t="s">
        <v>198</v>
      </c>
      <c r="G161" t="s">
        <v>518</v>
      </c>
      <c r="H161" s="164">
        <f t="shared" si="37"/>
        <v>2200623.6184807047</v>
      </c>
      <c r="J161" s="92"/>
      <c r="K161" s="92"/>
      <c r="L161" s="92"/>
      <c r="M161" s="92"/>
      <c r="N161" s="92"/>
      <c r="O161" s="92"/>
      <c r="P161" s="92"/>
      <c r="Q161" s="92"/>
      <c r="R161" s="92"/>
      <c r="S161" s="92"/>
      <c r="T161" s="92"/>
      <c r="U161" s="92"/>
      <c r="V161" s="92"/>
      <c r="W161" s="92"/>
      <c r="X161" s="92"/>
      <c r="Y161" s="92"/>
      <c r="AQ161" s="3"/>
    </row>
    <row r="162" spans="3:43" x14ac:dyDescent="0.25">
      <c r="C162" s="60"/>
      <c r="F162" s="91" t="s">
        <v>199</v>
      </c>
      <c r="G162" s="91" t="s">
        <v>518</v>
      </c>
      <c r="H162" s="174">
        <f t="shared" si="37"/>
        <v>2060076.1311756182</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519</v>
      </c>
      <c r="H166" s="92"/>
      <c r="J166" s="92"/>
      <c r="K166" s="92"/>
      <c r="L166" s="92"/>
      <c r="M166" s="92"/>
      <c r="N166" s="92"/>
      <c r="O166" s="92"/>
      <c r="P166" s="92"/>
      <c r="Q166" s="92"/>
      <c r="R166" s="92"/>
      <c r="S166" s="92"/>
      <c r="T166" s="92"/>
      <c r="U166" s="92"/>
      <c r="V166" s="92"/>
      <c r="W166" s="92"/>
      <c r="X166" s="92"/>
      <c r="Y166" s="92"/>
    </row>
    <row r="167" spans="3:43" x14ac:dyDescent="0.25">
      <c r="E167" s="71" t="s">
        <v>520</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191</v>
      </c>
      <c r="G168" s="90" t="s">
        <v>172</v>
      </c>
      <c r="H168" s="172"/>
      <c r="I168" s="90"/>
      <c r="J168" s="222">
        <f t="shared" ref="J168:Y168" si="38">J142 * (1 - J23)</f>
        <v>1325.6778380304568</v>
      </c>
      <c r="K168" s="222">
        <f t="shared" si="38"/>
        <v>2.9439383576374891</v>
      </c>
      <c r="L168" s="222">
        <f t="shared" si="38"/>
        <v>440.47473935541382</v>
      </c>
      <c r="M168" s="222">
        <f t="shared" si="38"/>
        <v>1.8171129347103114</v>
      </c>
      <c r="N168" s="222">
        <f t="shared" si="38"/>
        <v>499.89033681216051</v>
      </c>
      <c r="O168" s="222">
        <f t="shared" si="38"/>
        <v>42.178121922561424</v>
      </c>
      <c r="P168" s="222">
        <f t="shared" si="38"/>
        <v>459.49278266319345</v>
      </c>
      <c r="Q168" s="222">
        <f t="shared" si="38"/>
        <v>40.504828373888792</v>
      </c>
      <c r="R168" s="222">
        <f t="shared" si="38"/>
        <v>-20.512040438595292</v>
      </c>
      <c r="S168" s="222">
        <f t="shared" si="38"/>
        <v>-6.9320755380213622E-2</v>
      </c>
      <c r="T168" s="222">
        <f t="shared" si="38"/>
        <v>-8.4393900481561896</v>
      </c>
      <c r="U168" s="222">
        <f t="shared" si="38"/>
        <v>0</v>
      </c>
      <c r="V168" s="222">
        <f t="shared" si="38"/>
        <v>-8.92916101657064E-2</v>
      </c>
      <c r="W168" s="222">
        <f t="shared" si="38"/>
        <v>0</v>
      </c>
      <c r="X168" s="222">
        <f t="shared" si="38"/>
        <v>-144.90747937650062</v>
      </c>
      <c r="Y168" s="222">
        <f t="shared" si="38"/>
        <v>0</v>
      </c>
      <c r="AQ168" s="3"/>
    </row>
    <row r="169" spans="3:43" x14ac:dyDescent="0.25">
      <c r="C169" s="60"/>
      <c r="F169" t="s">
        <v>192</v>
      </c>
      <c r="G169" t="s">
        <v>172</v>
      </c>
      <c r="H169" s="92"/>
      <c r="J169" s="101">
        <f t="shared" ref="J169:Y169" si="39">J143 * (1 - J24)</f>
        <v>0</v>
      </c>
      <c r="K169" s="101">
        <f t="shared" si="39"/>
        <v>0</v>
      </c>
      <c r="L169" s="101">
        <f t="shared" si="39"/>
        <v>0</v>
      </c>
      <c r="M169" s="101">
        <f t="shared" si="39"/>
        <v>0</v>
      </c>
      <c r="N169" s="101">
        <f t="shared" si="39"/>
        <v>0</v>
      </c>
      <c r="O169" s="101">
        <f t="shared" si="39"/>
        <v>0</v>
      </c>
      <c r="P169" s="101">
        <f t="shared" si="39"/>
        <v>0</v>
      </c>
      <c r="Q169" s="101">
        <f t="shared" si="39"/>
        <v>0</v>
      </c>
      <c r="R169" s="101">
        <f t="shared" si="39"/>
        <v>0</v>
      </c>
      <c r="S169" s="101">
        <f t="shared" si="39"/>
        <v>0</v>
      </c>
      <c r="T169" s="101">
        <f t="shared" si="39"/>
        <v>0</v>
      </c>
      <c r="U169" s="101">
        <f t="shared" si="39"/>
        <v>0</v>
      </c>
      <c r="V169" s="101">
        <f t="shared" si="39"/>
        <v>0</v>
      </c>
      <c r="W169" s="101">
        <f t="shared" si="39"/>
        <v>0</v>
      </c>
      <c r="X169" s="101">
        <f t="shared" si="39"/>
        <v>0</v>
      </c>
      <c r="Y169" s="101">
        <f t="shared" si="39"/>
        <v>0</v>
      </c>
      <c r="AQ169" s="3"/>
    </row>
    <row r="170" spans="3:43" x14ac:dyDescent="0.25">
      <c r="C170" s="60"/>
      <c r="F170" t="s">
        <v>193</v>
      </c>
      <c r="G170" t="s">
        <v>172</v>
      </c>
      <c r="H170" s="92"/>
      <c r="J170" s="101">
        <f t="shared" ref="J170:Y170" si="40">J144 * (1 - J25)</f>
        <v>0</v>
      </c>
      <c r="K170" s="101">
        <f t="shared" si="40"/>
        <v>0</v>
      </c>
      <c r="L170" s="101">
        <f t="shared" si="40"/>
        <v>0</v>
      </c>
      <c r="M170" s="101">
        <f t="shared" si="40"/>
        <v>0</v>
      </c>
      <c r="N170" s="101">
        <f t="shared" si="40"/>
        <v>0</v>
      </c>
      <c r="O170" s="101">
        <f t="shared" si="40"/>
        <v>0</v>
      </c>
      <c r="P170" s="101">
        <f t="shared" si="40"/>
        <v>0</v>
      </c>
      <c r="Q170" s="101">
        <f t="shared" si="40"/>
        <v>0</v>
      </c>
      <c r="R170" s="101">
        <f t="shared" si="40"/>
        <v>0</v>
      </c>
      <c r="S170" s="101">
        <f t="shared" si="40"/>
        <v>0</v>
      </c>
      <c r="T170" s="101">
        <f t="shared" si="40"/>
        <v>0</v>
      </c>
      <c r="U170" s="101">
        <f t="shared" si="40"/>
        <v>0</v>
      </c>
      <c r="V170" s="101">
        <f t="shared" si="40"/>
        <v>0</v>
      </c>
      <c r="W170" s="101">
        <f t="shared" si="40"/>
        <v>0</v>
      </c>
      <c r="X170" s="101">
        <f t="shared" si="40"/>
        <v>0</v>
      </c>
      <c r="Y170" s="101">
        <f t="shared" si="40"/>
        <v>0</v>
      </c>
      <c r="AQ170" s="3"/>
    </row>
    <row r="171" spans="3:43" x14ac:dyDescent="0.25">
      <c r="C171" s="60"/>
      <c r="F171" t="s">
        <v>194</v>
      </c>
      <c r="G171" t="s">
        <v>172</v>
      </c>
      <c r="H171" s="92"/>
      <c r="J171" s="101">
        <f t="shared" ref="J171:Y171" si="41">J145 * (1 - J26)</f>
        <v>1321.7126999306647</v>
      </c>
      <c r="K171" s="101">
        <f t="shared" si="41"/>
        <v>2.9351329587612058</v>
      </c>
      <c r="L171" s="101">
        <f t="shared" si="41"/>
        <v>439.15726755275557</v>
      </c>
      <c r="M171" s="101">
        <f t="shared" si="41"/>
        <v>1.8116779010072896</v>
      </c>
      <c r="N171" s="101">
        <f t="shared" si="41"/>
        <v>498.39515135808631</v>
      </c>
      <c r="O171" s="101">
        <f t="shared" si="41"/>
        <v>42.05196602448796</v>
      </c>
      <c r="P171" s="101">
        <f t="shared" si="41"/>
        <v>366.49474190484034</v>
      </c>
      <c r="Q171" s="101">
        <f t="shared" si="41"/>
        <v>40.383677341863212</v>
      </c>
      <c r="R171" s="101">
        <f t="shared" si="41"/>
        <v>-20.450688373474872</v>
      </c>
      <c r="S171" s="101">
        <f t="shared" si="41"/>
        <v>-6.9113415134809189E-2</v>
      </c>
      <c r="T171" s="101">
        <f t="shared" si="41"/>
        <v>-8.4141476053401707</v>
      </c>
      <c r="U171" s="101">
        <f t="shared" si="41"/>
        <v>0</v>
      </c>
      <c r="V171" s="101">
        <f t="shared" si="41"/>
        <v>-8.9024536556038286E-2</v>
      </c>
      <c r="W171" s="101">
        <f t="shared" si="41"/>
        <v>0</v>
      </c>
      <c r="X171" s="101">
        <f t="shared" si="41"/>
        <v>-144.47405720488595</v>
      </c>
      <c r="Y171" s="101">
        <f t="shared" si="41"/>
        <v>0</v>
      </c>
      <c r="AQ171" s="3"/>
    </row>
    <row r="172" spans="3:43" x14ac:dyDescent="0.25">
      <c r="C172" s="60"/>
      <c r="F172" t="s">
        <v>195</v>
      </c>
      <c r="G172" t="s">
        <v>172</v>
      </c>
      <c r="H172" s="92"/>
      <c r="J172" s="101">
        <f t="shared" ref="J172:Y172" si="42">J146 * (1 - J27)</f>
        <v>1266.400815237376</v>
      </c>
      <c r="K172" s="101">
        <f t="shared" si="42"/>
        <v>3.9065299977751629</v>
      </c>
      <c r="L172" s="101">
        <f t="shared" si="42"/>
        <v>446.06278341706883</v>
      </c>
      <c r="M172" s="101">
        <f t="shared" si="42"/>
        <v>2.2262945541980135</v>
      </c>
      <c r="N172" s="101">
        <f t="shared" si="42"/>
        <v>500.2854135679321</v>
      </c>
      <c r="O172" s="101">
        <f t="shared" si="42"/>
        <v>42.018692594404818</v>
      </c>
      <c r="P172" s="101">
        <f t="shared" si="42"/>
        <v>0</v>
      </c>
      <c r="Q172" s="101">
        <f t="shared" si="42"/>
        <v>36.4236217387407</v>
      </c>
      <c r="R172" s="101">
        <f t="shared" si="42"/>
        <v>-20.925891683821746</v>
      </c>
      <c r="S172" s="101">
        <f t="shared" si="42"/>
        <v>-6.83680899552499E-2</v>
      </c>
      <c r="T172" s="101">
        <f t="shared" si="42"/>
        <v>-8.4307789756425251</v>
      </c>
      <c r="U172" s="101">
        <f t="shared" si="42"/>
        <v>0</v>
      </c>
      <c r="V172" s="101">
        <f t="shared" si="42"/>
        <v>-9.0089567736547652E-2</v>
      </c>
      <c r="W172" s="101">
        <f t="shared" si="42"/>
        <v>0</v>
      </c>
      <c r="X172" s="101">
        <f t="shared" si="42"/>
        <v>-139.39331845838282</v>
      </c>
      <c r="Y172" s="101">
        <f t="shared" si="42"/>
        <v>0</v>
      </c>
      <c r="AQ172" s="3"/>
    </row>
    <row r="173" spans="3:43" x14ac:dyDescent="0.25">
      <c r="C173" s="60"/>
      <c r="F173" t="s">
        <v>196</v>
      </c>
      <c r="G173" t="s">
        <v>172</v>
      </c>
      <c r="H173" s="92"/>
      <c r="J173" s="101">
        <f t="shared" ref="J173:Y173" si="43">J147 * (1 - J28)</f>
        <v>0</v>
      </c>
      <c r="K173" s="101">
        <f t="shared" si="43"/>
        <v>0</v>
      </c>
      <c r="L173" s="101">
        <f t="shared" si="43"/>
        <v>0</v>
      </c>
      <c r="M173" s="101">
        <f t="shared" si="43"/>
        <v>0</v>
      </c>
      <c r="N173" s="101">
        <f t="shared" si="43"/>
        <v>0</v>
      </c>
      <c r="O173" s="101">
        <f t="shared" si="43"/>
        <v>0</v>
      </c>
      <c r="P173" s="101">
        <f t="shared" si="43"/>
        <v>0</v>
      </c>
      <c r="Q173" s="101">
        <f t="shared" si="43"/>
        <v>0</v>
      </c>
      <c r="R173" s="101">
        <f t="shared" si="43"/>
        <v>0</v>
      </c>
      <c r="S173" s="101">
        <f t="shared" si="43"/>
        <v>0</v>
      </c>
      <c r="T173" s="101">
        <f t="shared" si="43"/>
        <v>0</v>
      </c>
      <c r="U173" s="101">
        <f t="shared" si="43"/>
        <v>0</v>
      </c>
      <c r="V173" s="101">
        <f t="shared" si="43"/>
        <v>0</v>
      </c>
      <c r="W173" s="101">
        <f t="shared" si="43"/>
        <v>0</v>
      </c>
      <c r="X173" s="101">
        <f t="shared" si="43"/>
        <v>0</v>
      </c>
      <c r="Y173" s="101">
        <f t="shared" si="43"/>
        <v>0</v>
      </c>
      <c r="AQ173" s="3"/>
    </row>
    <row r="174" spans="3:43" x14ac:dyDescent="0.25">
      <c r="C174" s="60"/>
      <c r="F174" t="s">
        <v>197</v>
      </c>
      <c r="G174" t="s">
        <v>172</v>
      </c>
      <c r="H174" s="92"/>
      <c r="J174" s="101">
        <f t="shared" ref="J174:Y174" si="44">J148 * (1 - J29)</f>
        <v>1251.5746593516701</v>
      </c>
      <c r="K174" s="101">
        <f t="shared" si="44"/>
        <v>3.8607950124353563</v>
      </c>
      <c r="L174" s="101">
        <f t="shared" si="44"/>
        <v>440.84058497706405</v>
      </c>
      <c r="M174" s="101">
        <f t="shared" si="44"/>
        <v>2.2002306179537441</v>
      </c>
      <c r="N174" s="101">
        <f t="shared" si="44"/>
        <v>395.54273088336794</v>
      </c>
      <c r="O174" s="101">
        <f t="shared" si="44"/>
        <v>0</v>
      </c>
      <c r="P174" s="101">
        <f t="shared" si="44"/>
        <v>0</v>
      </c>
      <c r="Q174" s="101">
        <f t="shared" si="44"/>
        <v>35.997198850092026</v>
      </c>
      <c r="R174" s="101">
        <f t="shared" si="44"/>
        <v>-20.680905634840421</v>
      </c>
      <c r="S174" s="101">
        <f t="shared" si="44"/>
        <v>-6.7567683048456728E-2</v>
      </c>
      <c r="T174" s="101">
        <f t="shared" si="44"/>
        <v>-8.3320771730008563</v>
      </c>
      <c r="U174" s="101">
        <f t="shared" si="44"/>
        <v>0</v>
      </c>
      <c r="V174" s="101">
        <f t="shared" si="44"/>
        <v>-8.9034860602070998E-2</v>
      </c>
      <c r="W174" s="101">
        <f t="shared" si="44"/>
        <v>0</v>
      </c>
      <c r="X174" s="101">
        <f t="shared" si="44"/>
        <v>0</v>
      </c>
      <c r="Y174" s="101">
        <f t="shared" si="44"/>
        <v>0</v>
      </c>
      <c r="AQ174" s="3"/>
    </row>
    <row r="175" spans="3:43" x14ac:dyDescent="0.25">
      <c r="C175" s="60"/>
      <c r="F175" t="s">
        <v>198</v>
      </c>
      <c r="G175" t="s">
        <v>172</v>
      </c>
      <c r="H175" s="92"/>
      <c r="J175" s="101">
        <f t="shared" ref="J175:Y175" si="45">J149 * (1 - J30)</f>
        <v>1228.7969596125113</v>
      </c>
      <c r="K175" s="101">
        <f t="shared" si="45"/>
        <v>3.7905315016726431</v>
      </c>
      <c r="L175" s="101">
        <f t="shared" si="45"/>
        <v>432.81762413935888</v>
      </c>
      <c r="M175" s="101">
        <f t="shared" si="45"/>
        <v>2.1601881067074595</v>
      </c>
      <c r="N175" s="101">
        <f t="shared" si="45"/>
        <v>0</v>
      </c>
      <c r="O175" s="101">
        <f t="shared" si="45"/>
        <v>0</v>
      </c>
      <c r="P175" s="101">
        <f t="shared" si="45"/>
        <v>0</v>
      </c>
      <c r="Q175" s="101">
        <f t="shared" si="45"/>
        <v>35.342077415080773</v>
      </c>
      <c r="R175" s="101">
        <f t="shared" si="45"/>
        <v>-20.304528999723587</v>
      </c>
      <c r="S175" s="101">
        <f t="shared" si="45"/>
        <v>0</v>
      </c>
      <c r="T175" s="101">
        <f t="shared" si="45"/>
        <v>-8.1804397531857056</v>
      </c>
      <c r="U175" s="101">
        <f t="shared" si="45"/>
        <v>0</v>
      </c>
      <c r="V175" s="101">
        <f t="shared" si="45"/>
        <v>0</v>
      </c>
      <c r="W175" s="101">
        <f t="shared" si="45"/>
        <v>0</v>
      </c>
      <c r="X175" s="101">
        <f t="shared" si="45"/>
        <v>0</v>
      </c>
      <c r="Y175" s="101">
        <f t="shared" si="45"/>
        <v>0</v>
      </c>
      <c r="AQ175" s="3"/>
    </row>
    <row r="176" spans="3:43" x14ac:dyDescent="0.25">
      <c r="C176" s="60"/>
      <c r="F176" s="91" t="s">
        <v>199</v>
      </c>
      <c r="G176" s="91" t="s">
        <v>172</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33.27063013646918</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100</v>
      </c>
      <c r="G177" s="151" t="s">
        <v>172</v>
      </c>
      <c r="H177" s="228"/>
      <c r="I177" s="151"/>
      <c r="J177" s="227">
        <f t="shared" ref="J177:Y177" si="47">SUM(J168:J176)</f>
        <v>6394.1629721626796</v>
      </c>
      <c r="K177" s="227">
        <f t="shared" si="47"/>
        <v>17.436927828281856</v>
      </c>
      <c r="L177" s="227">
        <f t="shared" si="47"/>
        <v>2199.3529994416613</v>
      </c>
      <c r="M177" s="227">
        <f t="shared" si="47"/>
        <v>10.21550411457682</v>
      </c>
      <c r="N177" s="227">
        <f t="shared" si="47"/>
        <v>1894.1136326215469</v>
      </c>
      <c r="O177" s="227">
        <f t="shared" si="47"/>
        <v>126.24878054145421</v>
      </c>
      <c r="P177" s="227">
        <f t="shared" si="47"/>
        <v>825.98752456803379</v>
      </c>
      <c r="Q177" s="227">
        <f t="shared" si="47"/>
        <v>221.92203385613468</v>
      </c>
      <c r="R177" s="227">
        <f t="shared" si="47"/>
        <v>-102.87405513045591</v>
      </c>
      <c r="S177" s="227">
        <f t="shared" si="47"/>
        <v>-0.27436994351872945</v>
      </c>
      <c r="T177" s="227">
        <f t="shared" si="47"/>
        <v>-41.796833555325449</v>
      </c>
      <c r="U177" s="227">
        <f t="shared" si="47"/>
        <v>0</v>
      </c>
      <c r="V177" s="227">
        <f t="shared" si="47"/>
        <v>-0.35744057506036331</v>
      </c>
      <c r="W177" s="227">
        <f t="shared" si="47"/>
        <v>0</v>
      </c>
      <c r="X177" s="227">
        <f t="shared" si="47"/>
        <v>-428.77485503976936</v>
      </c>
      <c r="Y177" s="227">
        <f t="shared" si="47"/>
        <v>0</v>
      </c>
      <c r="AQ177" s="3"/>
    </row>
    <row r="178" spans="2:43" x14ac:dyDescent="0.25">
      <c r="H178" s="229"/>
    </row>
    <row r="179" spans="2:43" x14ac:dyDescent="0.25">
      <c r="B179" s="70" t="s">
        <v>521</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522</v>
      </c>
      <c r="J181" s="92"/>
      <c r="K181" s="92"/>
      <c r="L181" s="92"/>
      <c r="M181" s="92"/>
      <c r="N181" s="92"/>
      <c r="O181" s="92"/>
      <c r="P181" s="92"/>
      <c r="Q181" s="92"/>
      <c r="R181" s="92"/>
      <c r="S181" s="92"/>
      <c r="T181" s="92"/>
      <c r="U181" s="92"/>
      <c r="V181" s="92"/>
      <c r="W181" s="92"/>
      <c r="X181" s="92"/>
      <c r="Y181" s="92"/>
      <c r="AQ181" s="3"/>
    </row>
    <row r="182" spans="2:43" x14ac:dyDescent="0.25">
      <c r="C182" s="71" t="s">
        <v>523</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524</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250</v>
      </c>
      <c r="G188" t="s">
        <v>251</v>
      </c>
      <c r="J188" s="163">
        <f>'Volume adjustments'!J286</f>
        <v>0</v>
      </c>
      <c r="K188" s="163">
        <f>'Volume adjustments'!K286</f>
        <v>0</v>
      </c>
      <c r="L188" s="163">
        <f>'Volume adjustments'!L286</f>
        <v>0</v>
      </c>
      <c r="M188" s="163">
        <f>'Volume adjustments'!M286</f>
        <v>0</v>
      </c>
      <c r="N188" s="163">
        <f>'Volume adjustments'!N286</f>
        <v>1602560.6396871246</v>
      </c>
      <c r="O188" s="163">
        <f>'Volume adjustments'!O286</f>
        <v>128013.24131145445</v>
      </c>
      <c r="P188" s="163">
        <f>'Volume adjustments'!P286</f>
        <v>1348716.6135199328</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252</v>
      </c>
      <c r="G189" t="s">
        <v>251</v>
      </c>
      <c r="J189" s="163">
        <f>'Volume adjustments'!J297</f>
        <v>0</v>
      </c>
      <c r="K189" s="163">
        <f>'Volume adjustments'!K297</f>
        <v>0</v>
      </c>
      <c r="L189" s="163">
        <f>'Volume adjustments'!L297</f>
        <v>0</v>
      </c>
      <c r="M189" s="163">
        <f>'Volume adjustments'!M297</f>
        <v>0</v>
      </c>
      <c r="N189" s="163">
        <f>'Volume adjustments'!N297</f>
        <v>23735.42856684553</v>
      </c>
      <c r="O189" s="163">
        <f>'Volume adjustments'!O297</f>
        <v>969.66666666666663</v>
      </c>
      <c r="P189" s="163">
        <f>'Volume adjustments'!P297</f>
        <v>12557.862714502196</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525</v>
      </c>
      <c r="G191" t="s">
        <v>251</v>
      </c>
      <c r="J191" s="101">
        <f t="shared" ref="J191:Y191" si="48">SUM(J188:J189)</f>
        <v>0</v>
      </c>
      <c r="K191" s="101">
        <f t="shared" si="48"/>
        <v>0</v>
      </c>
      <c r="L191" s="101">
        <f t="shared" si="48"/>
        <v>0</v>
      </c>
      <c r="M191" s="101">
        <f t="shared" si="48"/>
        <v>0</v>
      </c>
      <c r="N191" s="101">
        <f t="shared" si="48"/>
        <v>1626296.0682539702</v>
      </c>
      <c r="O191" s="101">
        <f t="shared" si="48"/>
        <v>128982.90797812112</v>
      </c>
      <c r="P191" s="101">
        <f t="shared" si="48"/>
        <v>1361274.4762344351</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526</v>
      </c>
      <c r="G192" t="s">
        <v>172</v>
      </c>
      <c r="J192" s="101">
        <f t="shared" ref="J192:Y192" si="49">J191 * PowerFactor / thousand</f>
        <v>0</v>
      </c>
      <c r="K192" s="101">
        <f t="shared" si="49"/>
        <v>0</v>
      </c>
      <c r="L192" s="101">
        <f t="shared" si="49"/>
        <v>0</v>
      </c>
      <c r="M192" s="101">
        <f t="shared" si="49"/>
        <v>0</v>
      </c>
      <c r="N192" s="101">
        <f t="shared" si="49"/>
        <v>1544.9812648412715</v>
      </c>
      <c r="O192" s="101">
        <f t="shared" si="49"/>
        <v>122.53376257921505</v>
      </c>
      <c r="P192" s="101">
        <f t="shared" si="49"/>
        <v>1293.2107524227133</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527</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221</v>
      </c>
      <c r="G198" t="s">
        <v>209</v>
      </c>
      <c r="H198" s="229"/>
      <c r="I198" t="s">
        <v>154</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528</v>
      </c>
    </row>
    <row r="199" spans="3:43" x14ac:dyDescent="0.25">
      <c r="D199" s="60"/>
      <c r="H199" s="231"/>
      <c r="J199" s="92"/>
      <c r="L199" s="92"/>
      <c r="AQ199" s="3"/>
    </row>
    <row r="200" spans="3:43" x14ac:dyDescent="0.25">
      <c r="C200" s="60"/>
      <c r="E200" t="s">
        <v>529</v>
      </c>
      <c r="G200" t="s">
        <v>172</v>
      </c>
      <c r="H200" s="92"/>
      <c r="I200" t="s">
        <v>154</v>
      </c>
      <c r="J200" s="164">
        <f t="shared" ref="J200:Q200" si="50">IF(J61 = 0, 0, J59 / (hours_in_year * J61))</f>
        <v>1431.5471517834731</v>
      </c>
      <c r="K200" s="164">
        <f t="shared" si="50"/>
        <v>238.46178668086003</v>
      </c>
      <c r="L200" s="164">
        <f t="shared" si="50"/>
        <v>548.38689228524061</v>
      </c>
      <c r="M200" s="164">
        <f t="shared" si="50"/>
        <v>16.511957696341732</v>
      </c>
      <c r="N200" s="164">
        <f t="shared" si="50"/>
        <v>538.63315719911986</v>
      </c>
      <c r="O200" s="164">
        <f t="shared" si="50"/>
        <v>47.253300574738418</v>
      </c>
      <c r="P200" s="164">
        <f t="shared" si="50"/>
        <v>508.04251470018539</v>
      </c>
      <c r="Q200" s="164">
        <f t="shared" si="50"/>
        <v>49.301316382481154</v>
      </c>
      <c r="R200" s="135"/>
      <c r="S200" s="135"/>
      <c r="T200" s="135"/>
      <c r="U200" s="135"/>
      <c r="V200" s="135"/>
      <c r="W200" s="135"/>
      <c r="X200" s="135"/>
      <c r="Y200" s="135"/>
      <c r="AA200" t="s">
        <v>528</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530</v>
      </c>
      <c r="G202" t="s">
        <v>172</v>
      </c>
      <c r="H202" s="92"/>
      <c r="I202" t="s">
        <v>154</v>
      </c>
      <c r="J202" s="101">
        <f t="shared" ref="J202:Y202" si="51">J192 * J42 / $H53</f>
        <v>0</v>
      </c>
      <c r="K202" s="101">
        <f t="shared" si="51"/>
        <v>0</v>
      </c>
      <c r="L202" s="101">
        <f t="shared" si="51"/>
        <v>0</v>
      </c>
      <c r="M202" s="101">
        <f t="shared" si="51"/>
        <v>0</v>
      </c>
      <c r="N202" s="101">
        <f t="shared" si="51"/>
        <v>1544.9812648412715</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528</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531</v>
      </c>
      <c r="G204" t="s">
        <v>172</v>
      </c>
      <c r="H204" s="92"/>
      <c r="J204" s="101">
        <f t="shared" ref="J204:Y204" si="52">IF(J198, J$200 * J42 / $H53, 0)</f>
        <v>1431.5471517834731</v>
      </c>
      <c r="K204" s="101">
        <f t="shared" si="52"/>
        <v>0</v>
      </c>
      <c r="L204" s="101">
        <f t="shared" si="52"/>
        <v>548.38689228524061</v>
      </c>
      <c r="M204" s="101">
        <f t="shared" si="52"/>
        <v>0</v>
      </c>
      <c r="N204" s="101">
        <f t="shared" si="52"/>
        <v>538.63315719911986</v>
      </c>
      <c r="O204" s="101">
        <f t="shared" si="52"/>
        <v>0</v>
      </c>
      <c r="P204" s="101">
        <f t="shared" si="52"/>
        <v>0</v>
      </c>
      <c r="Q204" s="101">
        <f t="shared" si="52"/>
        <v>49.301316382481154</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532</v>
      </c>
      <c r="G206" t="s">
        <v>172</v>
      </c>
      <c r="H206" s="92"/>
      <c r="J206" s="101">
        <f t="shared" ref="J206:Y206" si="53">IF(J202 = 0, J204, J202)</f>
        <v>1431.5471517834731</v>
      </c>
      <c r="K206" s="101">
        <f t="shared" si="53"/>
        <v>0</v>
      </c>
      <c r="L206" s="101">
        <f t="shared" si="53"/>
        <v>548.38689228524061</v>
      </c>
      <c r="M206" s="101">
        <f t="shared" si="53"/>
        <v>0</v>
      </c>
      <c r="N206" s="101">
        <f t="shared" si="53"/>
        <v>1544.9812648412715</v>
      </c>
      <c r="O206" s="101">
        <f t="shared" si="53"/>
        <v>0</v>
      </c>
      <c r="P206" s="101">
        <f t="shared" si="53"/>
        <v>0</v>
      </c>
      <c r="Q206" s="101">
        <f t="shared" si="53"/>
        <v>49.301316382481154</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533</v>
      </c>
      <c r="G208" t="s">
        <v>172</v>
      </c>
      <c r="H208" s="92"/>
      <c r="I208" t="s">
        <v>154</v>
      </c>
      <c r="J208" s="101">
        <f t="shared" ref="J208:Y208" si="54">J150</f>
        <v>1156.7754966956372</v>
      </c>
      <c r="K208" s="101">
        <f t="shared" si="54"/>
        <v>3.5683632892211357</v>
      </c>
      <c r="L208" s="101">
        <f t="shared" si="54"/>
        <v>407.44959386969401</v>
      </c>
      <c r="M208" s="101">
        <f t="shared" si="54"/>
        <v>2.0335765404892587</v>
      </c>
      <c r="N208" s="101">
        <f t="shared" si="54"/>
        <v>456.97847064410746</v>
      </c>
      <c r="O208" s="101">
        <f t="shared" si="54"/>
        <v>0</v>
      </c>
      <c r="P208" s="101">
        <f t="shared" si="54"/>
        <v>0</v>
      </c>
      <c r="Q208" s="101">
        <f t="shared" si="54"/>
        <v>33.27063013646918</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528</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534</v>
      </c>
      <c r="G210" t="s">
        <v>167</v>
      </c>
      <c r="H210" s="232">
        <f>SUM(J206:Y206) / SUM(J208:Y208) - 1</f>
        <v>0.7349924943078574</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389</v>
      </c>
      <c r="J212" s="92"/>
      <c r="L212" s="92"/>
      <c r="AA212" t="s">
        <v>528</v>
      </c>
      <c r="AQ212" s="3"/>
    </row>
    <row r="213" spans="5:43" x14ac:dyDescent="0.25">
      <c r="E213" s="71" t="s">
        <v>535</v>
      </c>
      <c r="F213" s="71"/>
      <c r="J213" s="92"/>
      <c r="L213" s="92"/>
      <c r="AQ213" s="3"/>
    </row>
    <row r="214" spans="5:43" x14ac:dyDescent="0.25">
      <c r="E214" s="60"/>
      <c r="F214" s="90" t="s">
        <v>191</v>
      </c>
      <c r="G214" s="90" t="s">
        <v>167</v>
      </c>
      <c r="H214" s="149">
        <f t="array" ref="H214:H222">TRANSPOSE('Load &amp; loss characteristics'!K23:S23)</f>
        <v>0.1160000000000001</v>
      </c>
      <c r="J214" s="92"/>
      <c r="K214" s="233"/>
      <c r="L214" s="92"/>
      <c r="M214" s="233"/>
      <c r="AQ214" s="3"/>
    </row>
    <row r="215" spans="5:43" x14ac:dyDescent="0.25">
      <c r="E215" s="60"/>
      <c r="F215" t="s">
        <v>192</v>
      </c>
      <c r="G215" t="s">
        <v>167</v>
      </c>
      <c r="H215" s="150">
        <v>0.1160000000000001</v>
      </c>
      <c r="J215" s="92"/>
      <c r="L215" s="92"/>
      <c r="AQ215" s="3"/>
    </row>
    <row r="216" spans="5:43" x14ac:dyDescent="0.25">
      <c r="E216" s="60"/>
      <c r="F216" t="s">
        <v>193</v>
      </c>
      <c r="G216" t="s">
        <v>167</v>
      </c>
      <c r="H216" s="150">
        <v>0.1160000000000001</v>
      </c>
      <c r="J216" s="92"/>
      <c r="L216" s="92"/>
      <c r="AQ216" s="3"/>
    </row>
    <row r="217" spans="5:43" x14ac:dyDescent="0.25">
      <c r="E217" s="60"/>
      <c r="F217" t="s">
        <v>194</v>
      </c>
      <c r="G217" t="s">
        <v>167</v>
      </c>
      <c r="H217" s="150">
        <v>0.26107999999999998</v>
      </c>
      <c r="J217" s="92"/>
      <c r="L217" s="92"/>
      <c r="AQ217" s="3"/>
    </row>
    <row r="218" spans="5:43" x14ac:dyDescent="0.25">
      <c r="E218" s="60"/>
      <c r="F218" t="s">
        <v>195</v>
      </c>
      <c r="G218" t="s">
        <v>167</v>
      </c>
      <c r="H218" s="150">
        <v>0.26107999999999998</v>
      </c>
      <c r="J218" s="92"/>
      <c r="L218" s="92"/>
      <c r="AQ218" s="3"/>
    </row>
    <row r="219" spans="5:43" x14ac:dyDescent="0.25">
      <c r="E219" s="60"/>
      <c r="F219" t="s">
        <v>196</v>
      </c>
      <c r="G219" t="s">
        <v>167</v>
      </c>
      <c r="H219" s="150">
        <v>0.1160000000000001</v>
      </c>
      <c r="J219" s="92"/>
      <c r="L219" s="92"/>
      <c r="AQ219" s="3"/>
    </row>
    <row r="220" spans="5:43" x14ac:dyDescent="0.25">
      <c r="E220" s="60"/>
      <c r="F220" t="s">
        <v>197</v>
      </c>
      <c r="G220" t="s">
        <v>167</v>
      </c>
      <c r="H220" s="150">
        <v>0.57634999999999992</v>
      </c>
      <c r="J220" s="92"/>
      <c r="L220" s="92"/>
      <c r="AQ220" s="3"/>
    </row>
    <row r="221" spans="5:43" x14ac:dyDescent="0.25">
      <c r="E221" s="60"/>
      <c r="F221" t="s">
        <v>198</v>
      </c>
      <c r="G221" t="s">
        <v>167</v>
      </c>
      <c r="H221" s="150">
        <v>0.57634999999999992</v>
      </c>
      <c r="J221" s="92"/>
      <c r="L221" s="92"/>
      <c r="AQ221" s="3"/>
    </row>
    <row r="222" spans="5:43" x14ac:dyDescent="0.25">
      <c r="E222" s="60"/>
      <c r="F222" s="91" t="s">
        <v>199</v>
      </c>
      <c r="G222" s="91" t="s">
        <v>167</v>
      </c>
      <c r="H222" s="184">
        <v>0.57634999999999992</v>
      </c>
      <c r="J222" s="92"/>
      <c r="L222" s="92"/>
      <c r="AQ222" s="3"/>
    </row>
    <row r="223" spans="5:43" x14ac:dyDescent="0.25">
      <c r="H223" s="229"/>
    </row>
    <row r="224" spans="5:43" x14ac:dyDescent="0.25">
      <c r="E224" s="60" t="s">
        <v>536</v>
      </c>
      <c r="J224" s="92"/>
      <c r="L224" s="92"/>
      <c r="AA224" t="s">
        <v>528</v>
      </c>
      <c r="AQ224" s="3"/>
    </row>
    <row r="225" spans="3:43" x14ac:dyDescent="0.25">
      <c r="E225" s="71" t="s">
        <v>537</v>
      </c>
      <c r="F225" s="71"/>
      <c r="J225" s="92"/>
      <c r="L225" s="92"/>
      <c r="AQ225" s="3"/>
    </row>
    <row r="226" spans="3:43" x14ac:dyDescent="0.25">
      <c r="C226" s="60"/>
      <c r="F226" s="90" t="s">
        <v>191</v>
      </c>
      <c r="G226" s="90" t="s">
        <v>167</v>
      </c>
      <c r="H226" s="234">
        <f t="shared" ref="H226:H233" si="55">IF(F226 = $F$234, $H$210, H214)</f>
        <v>0.1160000000000001</v>
      </c>
      <c r="J226" s="92"/>
      <c r="L226" s="92"/>
      <c r="AQ226" s="3"/>
    </row>
    <row r="227" spans="3:43" x14ac:dyDescent="0.25">
      <c r="C227" s="60"/>
      <c r="F227" t="s">
        <v>192</v>
      </c>
      <c r="G227" t="s">
        <v>167</v>
      </c>
      <c r="H227" s="154">
        <f t="shared" si="55"/>
        <v>0.1160000000000001</v>
      </c>
      <c r="J227" s="92"/>
      <c r="L227" s="92"/>
      <c r="AQ227" s="3"/>
    </row>
    <row r="228" spans="3:43" x14ac:dyDescent="0.25">
      <c r="C228" s="60"/>
      <c r="F228" t="s">
        <v>193</v>
      </c>
      <c r="G228" t="s">
        <v>167</v>
      </c>
      <c r="H228" s="154">
        <f t="shared" si="55"/>
        <v>0.1160000000000001</v>
      </c>
      <c r="J228" s="92"/>
      <c r="L228" s="92"/>
      <c r="AQ228" s="3"/>
    </row>
    <row r="229" spans="3:43" x14ac:dyDescent="0.25">
      <c r="C229" s="60"/>
      <c r="F229" t="s">
        <v>194</v>
      </c>
      <c r="G229" t="s">
        <v>167</v>
      </c>
      <c r="H229" s="154">
        <f t="shared" si="55"/>
        <v>0.26107999999999998</v>
      </c>
      <c r="J229" s="92"/>
      <c r="L229" s="92"/>
      <c r="AQ229" s="3"/>
    </row>
    <row r="230" spans="3:43" x14ac:dyDescent="0.25">
      <c r="C230" s="60"/>
      <c r="F230" t="s">
        <v>195</v>
      </c>
      <c r="G230" t="s">
        <v>167</v>
      </c>
      <c r="H230" s="154">
        <f t="shared" si="55"/>
        <v>0.26107999999999998</v>
      </c>
      <c r="J230" s="92"/>
      <c r="L230" s="92"/>
      <c r="AQ230" s="3"/>
    </row>
    <row r="231" spans="3:43" x14ac:dyDescent="0.25">
      <c r="C231" s="60"/>
      <c r="F231" t="s">
        <v>196</v>
      </c>
      <c r="G231" t="s">
        <v>167</v>
      </c>
      <c r="H231" s="154">
        <f t="shared" si="55"/>
        <v>0.1160000000000001</v>
      </c>
      <c r="J231" s="92"/>
      <c r="L231" s="92"/>
      <c r="AQ231" s="3"/>
    </row>
    <row r="232" spans="3:43" x14ac:dyDescent="0.25">
      <c r="C232" s="60"/>
      <c r="F232" t="s">
        <v>197</v>
      </c>
      <c r="G232" t="s">
        <v>167</v>
      </c>
      <c r="H232" s="154">
        <f t="shared" si="55"/>
        <v>0.57634999999999992</v>
      </c>
      <c r="J232" s="92"/>
      <c r="L232" s="92"/>
      <c r="AQ232" s="3"/>
    </row>
    <row r="233" spans="3:43" x14ac:dyDescent="0.25">
      <c r="C233" s="60"/>
      <c r="F233" t="s">
        <v>198</v>
      </c>
      <c r="G233" t="s">
        <v>167</v>
      </c>
      <c r="H233" s="154">
        <f t="shared" si="55"/>
        <v>0.57634999999999992</v>
      </c>
      <c r="J233" s="92"/>
      <c r="L233" s="92"/>
      <c r="AQ233" s="3"/>
    </row>
    <row r="234" spans="3:43" x14ac:dyDescent="0.25">
      <c r="C234" s="60"/>
      <c r="F234" s="91" t="s">
        <v>199</v>
      </c>
      <c r="G234" s="91" t="s">
        <v>167</v>
      </c>
      <c r="H234" s="186">
        <f>IF(F234 = $F$234, $H$210, H222)</f>
        <v>0.7349924943078574</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538</v>
      </c>
      <c r="F238" s="71"/>
      <c r="H238" s="235"/>
    </row>
    <row r="239" spans="3:43" x14ac:dyDescent="0.25">
      <c r="C239" s="60"/>
      <c r="F239" s="90" t="s">
        <v>191</v>
      </c>
      <c r="G239" s="90" t="s">
        <v>172</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192</v>
      </c>
      <c r="G240" t="s">
        <v>172</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0</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193</v>
      </c>
      <c r="G241" t="s">
        <v>172</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194</v>
      </c>
      <c r="G242" t="s">
        <v>172</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209.59436234913133</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195</v>
      </c>
      <c r="G243" t="s">
        <v>172</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1037.6265816198356</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196</v>
      </c>
      <c r="G244" t="s">
        <v>172</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0</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197</v>
      </c>
      <c r="G245" t="s">
        <v>172</v>
      </c>
      <c r="H245" s="92"/>
      <c r="J245" s="101">
        <f t="shared" ref="J245:Y245" si="62">J$192 * J29 * J40 / (1 + $H232) / $H51</f>
        <v>0</v>
      </c>
      <c r="K245" s="101">
        <f t="shared" si="62"/>
        <v>0</v>
      </c>
      <c r="L245" s="101">
        <f t="shared" si="62"/>
        <v>0</v>
      </c>
      <c r="M245" s="101">
        <f t="shared" si="62"/>
        <v>0</v>
      </c>
      <c r="N245" s="101">
        <f t="shared" si="62"/>
        <v>212.08416450896161</v>
      </c>
      <c r="O245" s="101">
        <f t="shared" si="62"/>
        <v>79.173483128406716</v>
      </c>
      <c r="P245" s="101">
        <f t="shared" si="62"/>
        <v>820.38300658020967</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198</v>
      </c>
      <c r="G246" t="s">
        <v>172</v>
      </c>
      <c r="H246" s="92"/>
      <c r="J246" s="101">
        <f t="shared" ref="J246:Y246" si="63">J$192 * J30 * J41 / (1 + $H233) / $H52</f>
        <v>0</v>
      </c>
      <c r="K246" s="101">
        <f t="shared" si="63"/>
        <v>0</v>
      </c>
      <c r="L246" s="101">
        <f t="shared" si="63"/>
        <v>0</v>
      </c>
      <c r="M246" s="101">
        <f t="shared" si="63"/>
        <v>0</v>
      </c>
      <c r="N246" s="101">
        <f t="shared" si="63"/>
        <v>1041.121976157498</v>
      </c>
      <c r="O246" s="101">
        <f t="shared" si="63"/>
        <v>77.732586404805431</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199</v>
      </c>
      <c r="G247" s="91" t="s">
        <v>172</v>
      </c>
      <c r="H247" s="173"/>
      <c r="I247" s="91"/>
      <c r="J247" s="193">
        <f t="shared" ref="J247:Y247" si="64">J$192 * J31 * J42 / (1 + $H234) / $H53</f>
        <v>0</v>
      </c>
      <c r="K247" s="193">
        <f t="shared" si="64"/>
        <v>0</v>
      </c>
      <c r="L247" s="193">
        <f t="shared" si="64"/>
        <v>0</v>
      </c>
      <c r="M247" s="193">
        <f t="shared" si="64"/>
        <v>0</v>
      </c>
      <c r="N247" s="193">
        <f t="shared" si="64"/>
        <v>890.4829674537657</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539</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191</v>
      </c>
      <c r="G252" s="172" t="s">
        <v>172</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192</v>
      </c>
      <c r="G253" s="92" t="s">
        <v>172</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193</v>
      </c>
      <c r="G254" s="92" t="s">
        <v>172</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194</v>
      </c>
      <c r="G255" s="92" t="s">
        <v>172</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195</v>
      </c>
      <c r="G256" s="92" t="s">
        <v>172</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196</v>
      </c>
      <c r="G257" s="92" t="s">
        <v>172</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197</v>
      </c>
      <c r="G258" s="92" t="s">
        <v>172</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198</v>
      </c>
      <c r="G259" s="92" t="s">
        <v>172</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199</v>
      </c>
      <c r="G260" s="173" t="s">
        <v>172</v>
      </c>
      <c r="H260" s="173"/>
      <c r="I260" s="91"/>
      <c r="J260" s="193">
        <f t="shared" ref="J260:Y260" si="73">IF(AND(J$192 = 0, J$198), J$200 * J31 * J42 / (1 + $H234) / $H53, 0)</f>
        <v>825.10279236369956</v>
      </c>
      <c r="K260" s="193">
        <f t="shared" si="73"/>
        <v>0</v>
      </c>
      <c r="L260" s="193">
        <f t="shared" si="73"/>
        <v>316.07450411709658</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540</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541</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542</v>
      </c>
      <c r="F268" s="71"/>
      <c r="H268" s="235" t="s">
        <v>543</v>
      </c>
      <c r="J268" s="92"/>
      <c r="K268" s="92"/>
      <c r="L268" s="92"/>
      <c r="M268" s="92"/>
      <c r="N268" s="92"/>
      <c r="O268" s="92"/>
      <c r="P268" s="92"/>
      <c r="Q268" s="92"/>
      <c r="R268" s="92"/>
      <c r="S268" s="92"/>
      <c r="T268" s="92"/>
      <c r="U268" s="92"/>
      <c r="V268" s="92"/>
      <c r="W268" s="92"/>
      <c r="X268" s="92"/>
      <c r="Y268" s="92"/>
    </row>
    <row r="269" spans="2:43" x14ac:dyDescent="0.25">
      <c r="C269" s="60"/>
      <c r="F269" s="90" t="s">
        <v>191</v>
      </c>
      <c r="G269" s="90" t="s">
        <v>172</v>
      </c>
      <c r="H269" s="145">
        <f t="shared" ref="H269:H277" si="74">SUM(J269:Y269)</f>
        <v>2638.9621762212237</v>
      </c>
      <c r="I269" s="222"/>
      <c r="J269" s="222">
        <f t="shared" ref="J269:Y269" si="75">J239 + J252 + J168</f>
        <v>1325.6778380304568</v>
      </c>
      <c r="K269" s="222">
        <f t="shared" si="75"/>
        <v>2.9439383576374891</v>
      </c>
      <c r="L269" s="222">
        <f t="shared" si="75"/>
        <v>440.47473935541382</v>
      </c>
      <c r="M269" s="222">
        <f t="shared" si="75"/>
        <v>1.8171129347103114</v>
      </c>
      <c r="N269" s="222">
        <f t="shared" si="75"/>
        <v>499.89033681216051</v>
      </c>
      <c r="O269" s="222">
        <f t="shared" si="75"/>
        <v>42.178121922561424</v>
      </c>
      <c r="P269" s="222">
        <f t="shared" si="75"/>
        <v>459.49278266319345</v>
      </c>
      <c r="Q269" s="222">
        <f t="shared" si="75"/>
        <v>40.504828373888792</v>
      </c>
      <c r="R269" s="222">
        <f t="shared" si="75"/>
        <v>-20.512040438595292</v>
      </c>
      <c r="S269" s="222">
        <f t="shared" si="75"/>
        <v>-6.9320755380213622E-2</v>
      </c>
      <c r="T269" s="222">
        <f t="shared" si="75"/>
        <v>-8.4393900481561896</v>
      </c>
      <c r="U269" s="222">
        <f t="shared" si="75"/>
        <v>0</v>
      </c>
      <c r="V269" s="222">
        <f t="shared" si="75"/>
        <v>-8.92916101657064E-2</v>
      </c>
      <c r="W269" s="222">
        <f t="shared" si="75"/>
        <v>0</v>
      </c>
      <c r="X269" s="222">
        <f t="shared" si="75"/>
        <v>-144.90747937650062</v>
      </c>
      <c r="Y269" s="222">
        <f t="shared" si="75"/>
        <v>0</v>
      </c>
      <c r="AQ269" s="3"/>
    </row>
    <row r="270" spans="2:43" x14ac:dyDescent="0.25">
      <c r="C270" s="60"/>
      <c r="F270" t="s">
        <v>192</v>
      </c>
      <c r="G270" t="s">
        <v>172</v>
      </c>
      <c r="H270" s="164">
        <f t="shared" si="74"/>
        <v>0</v>
      </c>
      <c r="I270" s="101"/>
      <c r="J270" s="101">
        <f t="shared" ref="J270:Y270" si="76">J240 + J253 + J169</f>
        <v>0</v>
      </c>
      <c r="K270" s="101">
        <f t="shared" si="76"/>
        <v>0</v>
      </c>
      <c r="L270" s="101">
        <f t="shared" si="76"/>
        <v>0</v>
      </c>
      <c r="M270" s="101">
        <f t="shared" si="76"/>
        <v>0</v>
      </c>
      <c r="N270" s="101">
        <f t="shared" si="76"/>
        <v>0</v>
      </c>
      <c r="O270" s="101">
        <f t="shared" si="76"/>
        <v>0</v>
      </c>
      <c r="P270" s="101">
        <f t="shared" si="76"/>
        <v>0</v>
      </c>
      <c r="Q270" s="101">
        <f t="shared" si="76"/>
        <v>0</v>
      </c>
      <c r="R270" s="101">
        <f t="shared" si="76"/>
        <v>0</v>
      </c>
      <c r="S270" s="101">
        <f t="shared" si="76"/>
        <v>0</v>
      </c>
      <c r="T270" s="101">
        <f t="shared" si="76"/>
        <v>0</v>
      </c>
      <c r="U270" s="101">
        <f t="shared" si="76"/>
        <v>0</v>
      </c>
      <c r="V270" s="101">
        <f t="shared" si="76"/>
        <v>0</v>
      </c>
      <c r="W270" s="101">
        <f t="shared" si="76"/>
        <v>0</v>
      </c>
      <c r="X270" s="101">
        <f t="shared" si="76"/>
        <v>0</v>
      </c>
      <c r="Y270" s="101">
        <f t="shared" si="76"/>
        <v>0</v>
      </c>
      <c r="AQ270" s="3"/>
    </row>
    <row r="271" spans="2:43" x14ac:dyDescent="0.25">
      <c r="C271" s="60"/>
      <c r="F271" t="s">
        <v>193</v>
      </c>
      <c r="G271" t="s">
        <v>172</v>
      </c>
      <c r="H271" s="164">
        <f t="shared" si="74"/>
        <v>0</v>
      </c>
      <c r="I271" s="101"/>
      <c r="J271" s="101">
        <f t="shared" ref="J271:Y271" si="77">J241 + J254 + J170</f>
        <v>0</v>
      </c>
      <c r="K271" s="101">
        <f t="shared" si="77"/>
        <v>0</v>
      </c>
      <c r="L271" s="101">
        <f t="shared" si="77"/>
        <v>0</v>
      </c>
      <c r="M271" s="101">
        <f t="shared" si="77"/>
        <v>0</v>
      </c>
      <c r="N271" s="101">
        <f t="shared" si="77"/>
        <v>0</v>
      </c>
      <c r="O271" s="101">
        <f t="shared" si="77"/>
        <v>0</v>
      </c>
      <c r="P271" s="101">
        <f t="shared" si="77"/>
        <v>0</v>
      </c>
      <c r="Q271" s="101">
        <f t="shared" si="77"/>
        <v>0</v>
      </c>
      <c r="R271" s="101">
        <f t="shared" si="77"/>
        <v>0</v>
      </c>
      <c r="S271" s="101">
        <f t="shared" si="77"/>
        <v>0</v>
      </c>
      <c r="T271" s="101">
        <f t="shared" si="77"/>
        <v>0</v>
      </c>
      <c r="U271" s="101">
        <f t="shared" si="77"/>
        <v>0</v>
      </c>
      <c r="V271" s="101">
        <f t="shared" si="77"/>
        <v>0</v>
      </c>
      <c r="W271" s="101">
        <f t="shared" si="77"/>
        <v>0</v>
      </c>
      <c r="X271" s="101">
        <f t="shared" si="77"/>
        <v>0</v>
      </c>
      <c r="Y271" s="101">
        <f t="shared" si="77"/>
        <v>0</v>
      </c>
      <c r="AQ271" s="3"/>
    </row>
    <row r="272" spans="2:43" x14ac:dyDescent="0.25">
      <c r="C272" s="60"/>
      <c r="F272" t="s">
        <v>194</v>
      </c>
      <c r="G272" t="s">
        <v>172</v>
      </c>
      <c r="H272" s="164">
        <f t="shared" si="74"/>
        <v>2749.0396461862065</v>
      </c>
      <c r="I272" s="101"/>
      <c r="J272" s="101">
        <f t="shared" ref="J272:Y272" si="78">J242 + J255 + J171</f>
        <v>1321.7126999306647</v>
      </c>
      <c r="K272" s="101">
        <f t="shared" si="78"/>
        <v>2.9351329587612058</v>
      </c>
      <c r="L272" s="101">
        <f t="shared" si="78"/>
        <v>439.15726755275557</v>
      </c>
      <c r="M272" s="101">
        <f t="shared" si="78"/>
        <v>1.8116779010072896</v>
      </c>
      <c r="N272" s="101">
        <f t="shared" si="78"/>
        <v>498.39515135808631</v>
      </c>
      <c r="O272" s="101">
        <f t="shared" si="78"/>
        <v>42.05196602448796</v>
      </c>
      <c r="P272" s="101">
        <f t="shared" si="78"/>
        <v>576.08910425397164</v>
      </c>
      <c r="Q272" s="101">
        <f t="shared" si="78"/>
        <v>40.383677341863212</v>
      </c>
      <c r="R272" s="101">
        <f t="shared" si="78"/>
        <v>-20.450688373474872</v>
      </c>
      <c r="S272" s="101">
        <f t="shared" si="78"/>
        <v>-6.9113415134809189E-2</v>
      </c>
      <c r="T272" s="101">
        <f t="shared" si="78"/>
        <v>-8.4141476053401707</v>
      </c>
      <c r="U272" s="101">
        <f t="shared" si="78"/>
        <v>0</v>
      </c>
      <c r="V272" s="101">
        <f t="shared" si="78"/>
        <v>-8.9024536556038286E-2</v>
      </c>
      <c r="W272" s="101">
        <f t="shared" si="78"/>
        <v>0</v>
      </c>
      <c r="X272" s="101">
        <f t="shared" si="78"/>
        <v>-144.47405720488595</v>
      </c>
      <c r="Y272" s="101">
        <f t="shared" si="78"/>
        <v>0</v>
      </c>
      <c r="AQ272" s="3"/>
    </row>
    <row r="273" spans="2:43" x14ac:dyDescent="0.25">
      <c r="C273" s="60"/>
      <c r="F273" t="s">
        <v>195</v>
      </c>
      <c r="G273" t="s">
        <v>172</v>
      </c>
      <c r="H273" s="164">
        <f t="shared" si="74"/>
        <v>3166.0422859517926</v>
      </c>
      <c r="I273" s="101"/>
      <c r="J273" s="101">
        <f t="shared" ref="J273:Y273" si="79">J243 + J256 + J172</f>
        <v>1266.400815237376</v>
      </c>
      <c r="K273" s="101">
        <f t="shared" si="79"/>
        <v>3.9065299977751629</v>
      </c>
      <c r="L273" s="101">
        <f t="shared" si="79"/>
        <v>446.06278341706883</v>
      </c>
      <c r="M273" s="101">
        <f t="shared" si="79"/>
        <v>2.2262945541980135</v>
      </c>
      <c r="N273" s="101">
        <f t="shared" si="79"/>
        <v>500.2854135679321</v>
      </c>
      <c r="O273" s="101">
        <f t="shared" si="79"/>
        <v>42.018692594404818</v>
      </c>
      <c r="P273" s="101">
        <f t="shared" si="79"/>
        <v>1037.6265816198356</v>
      </c>
      <c r="Q273" s="101">
        <f t="shared" si="79"/>
        <v>36.4236217387407</v>
      </c>
      <c r="R273" s="101">
        <f t="shared" si="79"/>
        <v>-20.925891683821746</v>
      </c>
      <c r="S273" s="101">
        <f t="shared" si="79"/>
        <v>-6.83680899552499E-2</v>
      </c>
      <c r="T273" s="101">
        <f t="shared" si="79"/>
        <v>-8.4307789756425251</v>
      </c>
      <c r="U273" s="101">
        <f t="shared" si="79"/>
        <v>0</v>
      </c>
      <c r="V273" s="101">
        <f t="shared" si="79"/>
        <v>-9.0089567736547652E-2</v>
      </c>
      <c r="W273" s="101">
        <f t="shared" si="79"/>
        <v>0</v>
      </c>
      <c r="X273" s="101">
        <f t="shared" si="79"/>
        <v>-139.39331845838282</v>
      </c>
      <c r="Y273" s="101">
        <f t="shared" si="79"/>
        <v>0</v>
      </c>
      <c r="AQ273" s="3"/>
    </row>
    <row r="274" spans="2:43" x14ac:dyDescent="0.25">
      <c r="C274" s="60"/>
      <c r="F274" t="s">
        <v>196</v>
      </c>
      <c r="G274" t="s">
        <v>172</v>
      </c>
      <c r="H274" s="164">
        <f t="shared" si="74"/>
        <v>0</v>
      </c>
      <c r="I274" s="101"/>
      <c r="J274" s="101">
        <f t="shared" ref="J274:Y274" si="80">J244 + J257 + J173</f>
        <v>0</v>
      </c>
      <c r="K274" s="101">
        <f t="shared" si="80"/>
        <v>0</v>
      </c>
      <c r="L274" s="101">
        <f t="shared" si="80"/>
        <v>0</v>
      </c>
      <c r="M274" s="101">
        <f t="shared" si="80"/>
        <v>0</v>
      </c>
      <c r="N274" s="101">
        <f t="shared" si="80"/>
        <v>0</v>
      </c>
      <c r="O274" s="101">
        <f t="shared" si="80"/>
        <v>0</v>
      </c>
      <c r="P274" s="101">
        <f t="shared" si="80"/>
        <v>0</v>
      </c>
      <c r="Q274" s="101">
        <f t="shared" si="80"/>
        <v>0</v>
      </c>
      <c r="R274" s="101">
        <f t="shared" si="80"/>
        <v>0</v>
      </c>
      <c r="S274" s="101">
        <f t="shared" si="80"/>
        <v>0</v>
      </c>
      <c r="T274" s="101">
        <f t="shared" si="80"/>
        <v>0</v>
      </c>
      <c r="U274" s="101">
        <f t="shared" si="80"/>
        <v>0</v>
      </c>
      <c r="V274" s="101">
        <f t="shared" si="80"/>
        <v>0</v>
      </c>
      <c r="W274" s="101">
        <f t="shared" si="80"/>
        <v>0</v>
      </c>
      <c r="X274" s="101">
        <f t="shared" si="80"/>
        <v>0</v>
      </c>
      <c r="Y274" s="101">
        <f t="shared" si="80"/>
        <v>0</v>
      </c>
      <c r="AQ274" s="3"/>
    </row>
    <row r="275" spans="2:43" x14ac:dyDescent="0.25">
      <c r="C275" s="60"/>
      <c r="F275" t="s">
        <v>197</v>
      </c>
      <c r="G275" t="s">
        <v>172</v>
      </c>
      <c r="H275" s="164">
        <f t="shared" si="74"/>
        <v>3212.4872685586693</v>
      </c>
      <c r="I275" s="101"/>
      <c r="J275" s="101">
        <f t="shared" ref="J275:Y275" si="81">J245 + J258 + J174</f>
        <v>1251.5746593516701</v>
      </c>
      <c r="K275" s="101">
        <f t="shared" si="81"/>
        <v>3.8607950124353563</v>
      </c>
      <c r="L275" s="101">
        <f t="shared" si="81"/>
        <v>440.84058497706405</v>
      </c>
      <c r="M275" s="101">
        <f t="shared" si="81"/>
        <v>2.2002306179537441</v>
      </c>
      <c r="N275" s="101">
        <f t="shared" si="81"/>
        <v>607.62689539232952</v>
      </c>
      <c r="O275" s="101">
        <f t="shared" si="81"/>
        <v>79.173483128406716</v>
      </c>
      <c r="P275" s="101">
        <f t="shared" si="81"/>
        <v>820.38300658020967</v>
      </c>
      <c r="Q275" s="101">
        <f t="shared" si="81"/>
        <v>35.997198850092026</v>
      </c>
      <c r="R275" s="101">
        <f t="shared" si="81"/>
        <v>-20.680905634840421</v>
      </c>
      <c r="S275" s="101">
        <f t="shared" si="81"/>
        <v>-6.7567683048456728E-2</v>
      </c>
      <c r="T275" s="101">
        <f t="shared" si="81"/>
        <v>-8.3320771730008563</v>
      </c>
      <c r="U275" s="101">
        <f t="shared" si="81"/>
        <v>0</v>
      </c>
      <c r="V275" s="101">
        <f t="shared" si="81"/>
        <v>-8.9034860602070998E-2</v>
      </c>
      <c r="W275" s="101">
        <f t="shared" si="81"/>
        <v>0</v>
      </c>
      <c r="X275" s="101">
        <f t="shared" si="81"/>
        <v>0</v>
      </c>
      <c r="Y275" s="101">
        <f t="shared" si="81"/>
        <v>0</v>
      </c>
      <c r="AQ275" s="3"/>
    </row>
    <row r="276" spans="2:43" x14ac:dyDescent="0.25">
      <c r="C276" s="60"/>
      <c r="F276" t="s">
        <v>198</v>
      </c>
      <c r="G276" t="s">
        <v>172</v>
      </c>
      <c r="H276" s="164">
        <f t="shared" si="74"/>
        <v>2793.2769745847254</v>
      </c>
      <c r="I276" s="101"/>
      <c r="J276" s="101">
        <f t="shared" ref="J276:Y276" si="82">J246 + J259 + J175</f>
        <v>1228.7969596125113</v>
      </c>
      <c r="K276" s="101">
        <f t="shared" si="82"/>
        <v>3.7905315016726431</v>
      </c>
      <c r="L276" s="101">
        <f t="shared" si="82"/>
        <v>432.81762413935888</v>
      </c>
      <c r="M276" s="101">
        <f t="shared" si="82"/>
        <v>2.1601881067074595</v>
      </c>
      <c r="N276" s="101">
        <f t="shared" si="82"/>
        <v>1041.121976157498</v>
      </c>
      <c r="O276" s="101">
        <f t="shared" si="82"/>
        <v>77.732586404805431</v>
      </c>
      <c r="P276" s="101">
        <f t="shared" si="82"/>
        <v>0</v>
      </c>
      <c r="Q276" s="101">
        <f t="shared" si="82"/>
        <v>35.342077415080773</v>
      </c>
      <c r="R276" s="101">
        <f t="shared" si="82"/>
        <v>-20.304528999723587</v>
      </c>
      <c r="S276" s="101">
        <f t="shared" si="82"/>
        <v>0</v>
      </c>
      <c r="T276" s="101">
        <f t="shared" si="82"/>
        <v>-8.1804397531857056</v>
      </c>
      <c r="U276" s="101">
        <f t="shared" si="82"/>
        <v>0</v>
      </c>
      <c r="V276" s="101">
        <f t="shared" si="82"/>
        <v>0</v>
      </c>
      <c r="W276" s="101">
        <f t="shared" si="82"/>
        <v>0</v>
      </c>
      <c r="X276" s="101">
        <f t="shared" si="82"/>
        <v>0</v>
      </c>
      <c r="Y276" s="101">
        <f t="shared" si="82"/>
        <v>0</v>
      </c>
      <c r="AQ276" s="3"/>
    </row>
    <row r="277" spans="2:43" x14ac:dyDescent="0.25">
      <c r="C277" s="60"/>
      <c r="F277" s="91" t="s">
        <v>199</v>
      </c>
      <c r="G277" s="91" t="s">
        <v>172</v>
      </c>
      <c r="H277" s="174">
        <f t="shared" si="74"/>
        <v>2064.9308940710307</v>
      </c>
      <c r="I277" s="193"/>
      <c r="J277" s="193">
        <f t="shared" ref="J277:Y277" si="83">J247 + J260 + J176</f>
        <v>825.10279236369956</v>
      </c>
      <c r="K277" s="193">
        <f t="shared" si="83"/>
        <v>0</v>
      </c>
      <c r="L277" s="193">
        <f t="shared" si="83"/>
        <v>316.07450411709658</v>
      </c>
      <c r="M277" s="193">
        <f t="shared" si="83"/>
        <v>0</v>
      </c>
      <c r="N277" s="193">
        <f t="shared" si="83"/>
        <v>890.4829674537657</v>
      </c>
      <c r="O277" s="193">
        <f t="shared" si="83"/>
        <v>0</v>
      </c>
      <c r="P277" s="193">
        <f t="shared" si="83"/>
        <v>0</v>
      </c>
      <c r="Q277" s="193">
        <f t="shared" si="83"/>
        <v>33.27063013646918</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231</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232</v>
      </c>
      <c r="G281" s="6" t="s">
        <v>55</v>
      </c>
      <c r="H281" s="108">
        <f t="array" ref="H281">SUM(IF(ISERROR(H23:Y277), 1))</f>
        <v>0</v>
      </c>
    </row>
    <row r="283" spans="2:43" x14ac:dyDescent="0.25">
      <c r="B283" s="70" t="s">
        <v>106</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544</v>
      </c>
    </row>
    <row r="10" spans="1:43" x14ac:dyDescent="0.25">
      <c r="C10" s="71" t="s">
        <v>545</v>
      </c>
    </row>
    <row r="11" spans="1:43" x14ac:dyDescent="0.25">
      <c r="D11" s="60"/>
      <c r="AQ11" s="3"/>
    </row>
    <row r="12" spans="1:43" x14ac:dyDescent="0.25">
      <c r="B12" s="70" t="s">
        <v>546</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547</v>
      </c>
      <c r="G16" s="89" t="s">
        <v>212</v>
      </c>
      <c r="J16" s="163">
        <f>'Volume adjustments'!J275</f>
        <v>1933377.9905270939</v>
      </c>
      <c r="K16" s="163">
        <f>'Volume adjustments'!K275</f>
        <v>90264.674203310205</v>
      </c>
      <c r="L16" s="163">
        <f>'Volume adjustments'!L275</f>
        <v>126655.59643650094</v>
      </c>
      <c r="M16" s="163">
        <f>'Volume adjustments'!M275</f>
        <v>5142</v>
      </c>
      <c r="N16" s="163">
        <f>'Volume adjustments'!N275</f>
        <v>11567.657288044877</v>
      </c>
      <c r="O16" s="163">
        <f>'Volume adjustments'!O275</f>
        <v>312.74560352813916</v>
      </c>
      <c r="P16" s="163">
        <f>'Volume adjustments'!P275</f>
        <v>1304.7837403944643</v>
      </c>
      <c r="Q16" s="163">
        <f>'Volume adjustments'!Q275</f>
        <v>4926.735629790157</v>
      </c>
      <c r="R16" s="163">
        <f>'Volume adjustments'!R275</f>
        <v>14150.894574354708</v>
      </c>
      <c r="S16" s="163">
        <f>'Volume adjustments'!S275</f>
        <v>7</v>
      </c>
      <c r="T16" s="163">
        <f>'Volume adjustments'!T275</f>
        <v>549</v>
      </c>
      <c r="U16" s="163">
        <f>'Volume adjustments'!U275</f>
        <v>0</v>
      </c>
      <c r="V16" s="163">
        <f>'Volume adjustments'!V275</f>
        <v>9</v>
      </c>
      <c r="W16" s="163">
        <f>'Volume adjustments'!W275</f>
        <v>0</v>
      </c>
      <c r="X16" s="163">
        <f>'Volume adjustments'!X275</f>
        <v>263</v>
      </c>
      <c r="Y16" s="163">
        <f>'Volume adjustments'!Y275</f>
        <v>0</v>
      </c>
    </row>
    <row r="17" spans="5:27" x14ac:dyDescent="0.25">
      <c r="E17" s="89" t="s">
        <v>548</v>
      </c>
      <c r="G17" s="89" t="s">
        <v>207</v>
      </c>
      <c r="J17" s="167">
        <f>'Volume adjustments'!J264</f>
        <v>5693320.2845289437</v>
      </c>
      <c r="K17" s="167">
        <f>'Volume adjustments'!K264</f>
        <v>180343.88003100079</v>
      </c>
      <c r="L17" s="167">
        <f>'Volume adjustments'!L264</f>
        <v>2008017.3157430198</v>
      </c>
      <c r="M17" s="167">
        <f>'Volume adjustments'!M264</f>
        <v>41561.257999999994</v>
      </c>
      <c r="N17" s="167">
        <f>'Volume adjustments'!N264</f>
        <v>2555814.3309098235</v>
      </c>
      <c r="O17" s="167">
        <f>'Volume adjustments'!O264</f>
        <v>280512.60339985415</v>
      </c>
      <c r="P17" s="167">
        <f>'Volume adjustments'!P264</f>
        <v>3287400.8607207835</v>
      </c>
      <c r="Q17" s="167">
        <f>'Volume adjustments'!Q264</f>
        <v>210901.17122097785</v>
      </c>
      <c r="R17" s="167">
        <f>'Volume adjustments'!R264</f>
        <v>122800.5376623444</v>
      </c>
      <c r="S17" s="167">
        <f>'Volume adjustments'!S264</f>
        <v>480.97020050039418</v>
      </c>
      <c r="T17" s="167">
        <f>'Volume adjustments'!T264</f>
        <v>62870.451000000008</v>
      </c>
      <c r="U17" s="167">
        <f>'Volume adjustments'!U264</f>
        <v>0</v>
      </c>
      <c r="V17" s="167">
        <f>'Volume adjustments'!V264</f>
        <v>701.11299999999994</v>
      </c>
      <c r="W17" s="167">
        <f>'Volume adjustments'!W264</f>
        <v>0</v>
      </c>
      <c r="X17" s="167">
        <f>'Volume adjustments'!X264</f>
        <v>1028767.572</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549</v>
      </c>
      <c r="J19" s="101"/>
      <c r="K19" s="101"/>
      <c r="L19" s="101"/>
      <c r="M19" s="101"/>
      <c r="N19" s="101"/>
      <c r="O19" s="101"/>
      <c r="P19" s="101"/>
      <c r="Q19" s="101"/>
      <c r="R19" s="101"/>
      <c r="S19" s="101"/>
      <c r="T19" s="101"/>
      <c r="U19" s="101"/>
      <c r="V19" s="101"/>
      <c r="W19" s="101"/>
      <c r="X19" s="101"/>
      <c r="Y19" s="101"/>
    </row>
    <row r="20" spans="5:27" x14ac:dyDescent="0.25">
      <c r="E20" s="71" t="s">
        <v>550</v>
      </c>
      <c r="J20" s="101"/>
      <c r="K20" s="101"/>
      <c r="L20" s="101"/>
      <c r="M20" s="101"/>
      <c r="N20" s="101"/>
      <c r="O20" s="101"/>
      <c r="P20" s="101"/>
      <c r="Q20" s="101"/>
      <c r="R20" s="101"/>
      <c r="S20" s="101"/>
      <c r="T20" s="101"/>
      <c r="U20" s="101"/>
      <c r="V20" s="101"/>
      <c r="W20" s="101"/>
      <c r="X20" s="101"/>
      <c r="Y20" s="101"/>
    </row>
    <row r="21" spans="5:27" x14ac:dyDescent="0.25">
      <c r="E21" s="100"/>
      <c r="F21" s="90" t="s">
        <v>375</v>
      </c>
      <c r="G21" s="90" t="s">
        <v>261</v>
      </c>
      <c r="H21" s="236"/>
      <c r="I21" s="90"/>
      <c r="J21" s="167">
        <f>'Inputs by customer type'!J187</f>
        <v>377.70000000000005</v>
      </c>
      <c r="K21" s="167">
        <f>'Inputs by customer type'!K187</f>
        <v>0</v>
      </c>
      <c r="L21" s="167">
        <f>'Inputs by customer type'!L187</f>
        <v>508.75</v>
      </c>
      <c r="M21" s="167">
        <f>'Inputs by customer type'!M187</f>
        <v>0</v>
      </c>
      <c r="N21" s="167">
        <f>'Inputs by customer type'!N187</f>
        <v>2380</v>
      </c>
      <c r="O21" s="167">
        <f>'Inputs by customer type'!O187</f>
        <v>840</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376</v>
      </c>
      <c r="G22" t="s">
        <v>261</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12718.10554</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9287</v>
      </c>
      <c r="Y22" s="163">
        <f>'Inputs by customer type'!Y188</f>
        <v>9287</v>
      </c>
    </row>
    <row r="23" spans="5:27" x14ac:dyDescent="0.25">
      <c r="E23" s="100"/>
      <c r="F23" s="91" t="s">
        <v>551</v>
      </c>
      <c r="G23" s="91" t="s">
        <v>264</v>
      </c>
      <c r="H23" s="91"/>
      <c r="I23" s="91"/>
      <c r="J23" s="237"/>
      <c r="K23" s="237"/>
      <c r="L23" s="237"/>
      <c r="M23" s="237"/>
      <c r="N23" s="237"/>
      <c r="O23" s="237"/>
      <c r="P23" s="237"/>
      <c r="Q23" s="238">
        <f>'Inputs by customer type'!Q190</f>
        <v>120.51</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552</v>
      </c>
      <c r="J25" s="101"/>
      <c r="K25" s="101"/>
      <c r="L25" s="101"/>
      <c r="M25" s="101"/>
      <c r="N25" s="101"/>
      <c r="O25" s="101"/>
      <c r="P25" s="101"/>
      <c r="Q25" s="101"/>
      <c r="R25" s="101"/>
      <c r="S25" s="101"/>
      <c r="T25" s="101"/>
      <c r="U25" s="101"/>
      <c r="V25" s="101"/>
      <c r="W25" s="101"/>
      <c r="X25" s="101"/>
      <c r="Y25" s="101"/>
    </row>
    <row r="26" spans="5:27" x14ac:dyDescent="0.25">
      <c r="E26" s="71" t="s">
        <v>553</v>
      </c>
      <c r="I26" t="s">
        <v>154</v>
      </c>
      <c r="J26" s="101"/>
      <c r="K26" s="101"/>
      <c r="L26" s="101"/>
      <c r="M26" s="101"/>
      <c r="N26" s="101"/>
      <c r="O26" s="101"/>
      <c r="P26" s="101"/>
      <c r="Q26" s="101"/>
      <c r="R26" s="101"/>
      <c r="S26" s="101"/>
      <c r="T26" s="101"/>
      <c r="U26" s="101"/>
      <c r="V26" s="101"/>
      <c r="W26" s="101"/>
      <c r="X26" s="101"/>
      <c r="Y26" s="101"/>
      <c r="AA26" t="s">
        <v>896</v>
      </c>
    </row>
    <row r="27" spans="5:27" x14ac:dyDescent="0.25">
      <c r="F27" s="90" t="s">
        <v>375</v>
      </c>
      <c r="G27" s="90" t="s">
        <v>277</v>
      </c>
      <c r="H27" s="172"/>
      <c r="I27" s="90"/>
      <c r="J27" s="169">
        <f t="shared" ref="J27:Y27" si="0">J21 * J$16</f>
        <v>730236867.0220834</v>
      </c>
      <c r="K27" s="169">
        <f t="shared" si="0"/>
        <v>0</v>
      </c>
      <c r="L27" s="169">
        <f t="shared" si="0"/>
        <v>64436034.687069856</v>
      </c>
      <c r="M27" s="169">
        <f t="shared" si="0"/>
        <v>0</v>
      </c>
      <c r="N27" s="169">
        <f t="shared" si="0"/>
        <v>27531024.345546808</v>
      </c>
      <c r="O27" s="169">
        <f t="shared" si="0"/>
        <v>262706.30696363689</v>
      </c>
      <c r="P27" s="169">
        <f t="shared" si="0"/>
        <v>0</v>
      </c>
      <c r="Q27" s="169">
        <f t="shared" si="0"/>
        <v>0</v>
      </c>
      <c r="R27" s="169">
        <f>R21 * R$16</f>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376</v>
      </c>
      <c r="G28" t="s">
        <v>277</v>
      </c>
      <c r="H28" s="92"/>
      <c r="J28" s="141">
        <f t="shared" ref="J28:Y28" si="1">J22 * J$16</f>
        <v>0</v>
      </c>
      <c r="K28" s="141">
        <f t="shared" si="1"/>
        <v>0</v>
      </c>
      <c r="L28" s="141">
        <f t="shared" si="1"/>
        <v>0</v>
      </c>
      <c r="M28" s="141">
        <f t="shared" si="1"/>
        <v>0</v>
      </c>
      <c r="N28" s="141">
        <f t="shared" si="1"/>
        <v>0</v>
      </c>
      <c r="O28" s="141">
        <f t="shared" si="1"/>
        <v>0</v>
      </c>
      <c r="P28" s="141">
        <f t="shared" si="1"/>
        <v>16594377.317212759</v>
      </c>
      <c r="Q28" s="141">
        <f t="shared" si="1"/>
        <v>0</v>
      </c>
      <c r="R28" s="141">
        <f t="shared" si="1"/>
        <v>0</v>
      </c>
      <c r="S28" s="141">
        <f t="shared" si="1"/>
        <v>0</v>
      </c>
      <c r="T28" s="141">
        <f t="shared" si="1"/>
        <v>0</v>
      </c>
      <c r="U28" s="141">
        <f t="shared" si="1"/>
        <v>0</v>
      </c>
      <c r="V28" s="141">
        <f t="shared" si="1"/>
        <v>0</v>
      </c>
      <c r="W28" s="141">
        <f t="shared" si="1"/>
        <v>0</v>
      </c>
      <c r="X28" s="141">
        <f t="shared" si="1"/>
        <v>2442481</v>
      </c>
      <c r="Y28" s="141">
        <f t="shared" si="1"/>
        <v>0</v>
      </c>
    </row>
    <row r="29" spans="5:27" x14ac:dyDescent="0.25">
      <c r="F29" s="91" t="s">
        <v>551</v>
      </c>
      <c r="G29" s="91" t="s">
        <v>277</v>
      </c>
      <c r="H29" s="173"/>
      <c r="I29" s="91"/>
      <c r="J29" s="237"/>
      <c r="K29" s="237"/>
      <c r="L29" s="237"/>
      <c r="M29" s="237"/>
      <c r="N29" s="237"/>
      <c r="O29" s="237"/>
      <c r="P29" s="237"/>
      <c r="Q29" s="216">
        <f t="shared" ref="Q29" si="2">Q23 * Q$17</f>
        <v>25415700.143840041</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554</v>
      </c>
      <c r="J31" s="101"/>
      <c r="K31" s="101"/>
      <c r="L31" s="101"/>
      <c r="M31" s="101"/>
      <c r="N31" s="101"/>
      <c r="O31" s="101"/>
      <c r="P31" s="101"/>
      <c r="Q31" s="101"/>
      <c r="R31" s="101"/>
      <c r="S31" s="101"/>
      <c r="T31" s="101"/>
      <c r="U31" s="101"/>
      <c r="V31" s="101"/>
      <c r="W31" s="101"/>
      <c r="X31" s="101"/>
      <c r="Y31" s="101"/>
    </row>
    <row r="32" spans="5:27" x14ac:dyDescent="0.25">
      <c r="E32" s="71" t="s">
        <v>555</v>
      </c>
      <c r="H32" s="171" t="s">
        <v>543</v>
      </c>
      <c r="J32" s="101"/>
      <c r="K32" s="101"/>
      <c r="L32" s="101"/>
      <c r="M32" s="101"/>
      <c r="N32" s="101"/>
      <c r="O32" s="101"/>
      <c r="P32" s="101"/>
      <c r="Q32" s="101"/>
      <c r="R32" s="101"/>
      <c r="S32" s="101"/>
      <c r="T32" s="101"/>
      <c r="U32" s="101"/>
      <c r="V32" s="101"/>
      <c r="W32" s="101"/>
      <c r="X32" s="101"/>
      <c r="Y32" s="101"/>
    </row>
    <row r="33" spans="2:43" x14ac:dyDescent="0.25">
      <c r="F33" s="90" t="s">
        <v>556</v>
      </c>
      <c r="G33" s="90" t="s">
        <v>277</v>
      </c>
      <c r="H33" s="145">
        <f>SUM(J33:Y33)</f>
        <v>847882332.50550389</v>
      </c>
      <c r="I33" s="90"/>
      <c r="J33" s="222">
        <f t="shared" ref="J33:Y33" si="3">J27 +J29</f>
        <v>730236867.0220834</v>
      </c>
      <c r="K33" s="222">
        <f t="shared" si="3"/>
        <v>0</v>
      </c>
      <c r="L33" s="222">
        <f t="shared" si="3"/>
        <v>64436034.687069856</v>
      </c>
      <c r="M33" s="222">
        <f t="shared" si="3"/>
        <v>0</v>
      </c>
      <c r="N33" s="222">
        <f t="shared" si="3"/>
        <v>27531024.345546808</v>
      </c>
      <c r="O33" s="222">
        <f t="shared" si="3"/>
        <v>262706.30696363689</v>
      </c>
      <c r="P33" s="222">
        <f t="shared" si="3"/>
        <v>0</v>
      </c>
      <c r="Q33" s="222">
        <f t="shared" si="3"/>
        <v>25415700.143840041</v>
      </c>
      <c r="R33" s="222">
        <f>R27 +R29</f>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557</v>
      </c>
      <c r="G34" s="91" t="s">
        <v>277</v>
      </c>
      <c r="H34" s="174">
        <f>SUM(J34:Y34)</f>
        <v>19036858.31721276</v>
      </c>
      <c r="I34" s="91"/>
      <c r="J34" s="227">
        <f t="shared" ref="J34:Y34" si="4">J28</f>
        <v>0</v>
      </c>
      <c r="K34" s="227">
        <f t="shared" si="4"/>
        <v>0</v>
      </c>
      <c r="L34" s="227">
        <f t="shared" si="4"/>
        <v>0</v>
      </c>
      <c r="M34" s="227">
        <f t="shared" si="4"/>
        <v>0</v>
      </c>
      <c r="N34" s="227">
        <f t="shared" si="4"/>
        <v>0</v>
      </c>
      <c r="O34" s="227">
        <f t="shared" si="4"/>
        <v>0</v>
      </c>
      <c r="P34" s="227">
        <f t="shared" si="4"/>
        <v>16594377.317212759</v>
      </c>
      <c r="Q34" s="227">
        <f t="shared" si="4"/>
        <v>0</v>
      </c>
      <c r="R34" s="227">
        <f t="shared" si="4"/>
        <v>0</v>
      </c>
      <c r="S34" s="227">
        <f t="shared" si="4"/>
        <v>0</v>
      </c>
      <c r="T34" s="227">
        <f t="shared" si="4"/>
        <v>0</v>
      </c>
      <c r="U34" s="227">
        <f t="shared" si="4"/>
        <v>0</v>
      </c>
      <c r="V34" s="227">
        <f t="shared" si="4"/>
        <v>0</v>
      </c>
      <c r="W34" s="227">
        <f t="shared" si="4"/>
        <v>0</v>
      </c>
      <c r="X34" s="227">
        <f t="shared" si="4"/>
        <v>2442481</v>
      </c>
      <c r="Y34" s="227">
        <f t="shared" si="4"/>
        <v>0</v>
      </c>
    </row>
    <row r="36" spans="2:43" x14ac:dyDescent="0.25">
      <c r="B36" s="70" t="s">
        <v>231</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232</v>
      </c>
      <c r="G38" s="6" t="s">
        <v>55</v>
      </c>
      <c r="H38" s="108">
        <f t="array" ref="H38">SUM(IF(ISERROR(H16:Y35), 1))</f>
        <v>0</v>
      </c>
    </row>
    <row r="40" spans="2:43" x14ac:dyDescent="0.25">
      <c r="B40" s="70" t="s">
        <v>106</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Distribution - One</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142</v>
      </c>
      <c r="C5" s="85"/>
      <c r="D5" s="85"/>
      <c r="E5" s="85"/>
      <c r="F5" s="85"/>
      <c r="G5" s="86" t="s">
        <v>143</v>
      </c>
      <c r="H5" s="87" t="s">
        <v>144</v>
      </c>
      <c r="I5" s="157"/>
      <c r="J5" s="133"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25">
      <c r="H6" s="3"/>
      <c r="I6" s="3"/>
      <c r="J6" s="3"/>
      <c r="K6" s="3"/>
      <c r="L6" s="3"/>
      <c r="M6" s="3"/>
      <c r="N6" s="3"/>
      <c r="O6" s="3"/>
      <c r="P6" s="3"/>
      <c r="Q6" s="3"/>
      <c r="R6" s="3"/>
      <c r="S6" s="3"/>
      <c r="T6" s="3"/>
      <c r="U6" s="3"/>
      <c r="W6" s="3"/>
    </row>
    <row r="7" spans="1:23" x14ac:dyDescent="0.25">
      <c r="B7" s="70" t="s">
        <v>10</v>
      </c>
      <c r="C7" s="70"/>
      <c r="D7" s="70"/>
      <c r="E7" s="70"/>
      <c r="F7" s="70"/>
      <c r="G7" s="70"/>
      <c r="H7" s="70"/>
      <c r="I7" s="70"/>
      <c r="J7" s="70"/>
      <c r="K7" s="70"/>
      <c r="L7" s="70"/>
      <c r="M7" s="70"/>
      <c r="N7" s="70"/>
      <c r="O7" s="70"/>
      <c r="P7" s="70"/>
      <c r="Q7" s="70"/>
      <c r="R7" s="70"/>
      <c r="S7" s="70"/>
      <c r="T7" s="70"/>
      <c r="U7" s="70"/>
      <c r="V7" s="70"/>
      <c r="W7" s="70"/>
    </row>
    <row r="9" spans="1:23" x14ac:dyDescent="0.25">
      <c r="C9" s="71" t="s">
        <v>558</v>
      </c>
      <c r="D9" s="71"/>
    </row>
    <row r="10" spans="1:23" x14ac:dyDescent="0.25">
      <c r="C10" s="71" t="s">
        <v>559</v>
      </c>
      <c r="D10" s="71"/>
    </row>
    <row r="11" spans="1:23" x14ac:dyDescent="0.25">
      <c r="C11" s="71"/>
      <c r="D11" s="71" t="s">
        <v>560</v>
      </c>
    </row>
    <row r="12" spans="1:23" x14ac:dyDescent="0.25">
      <c r="C12" s="71"/>
      <c r="D12" s="71" t="s">
        <v>561</v>
      </c>
    </row>
    <row r="13" spans="1:23" x14ac:dyDescent="0.25">
      <c r="C13" s="71" t="s">
        <v>562</v>
      </c>
      <c r="D13" s="71"/>
    </row>
    <row r="15" spans="1:23" x14ac:dyDescent="0.25">
      <c r="B15" s="70" t="s">
        <v>563</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564</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565</v>
      </c>
      <c r="I21" s="3" t="s">
        <v>154</v>
      </c>
      <c r="J21" s="3"/>
      <c r="K21" s="3"/>
      <c r="L21" s="3"/>
      <c r="M21" s="3"/>
      <c r="N21" s="3"/>
      <c r="O21" s="3"/>
      <c r="P21" s="3"/>
      <c r="Q21" s="3"/>
      <c r="R21" s="3"/>
      <c r="S21" s="3"/>
      <c r="T21" s="3"/>
      <c r="U21" s="3"/>
      <c r="W21" s="3" t="s">
        <v>165</v>
      </c>
    </row>
    <row r="22" spans="3:25" x14ac:dyDescent="0.25">
      <c r="D22" s="71"/>
    </row>
    <row r="23" spans="3:25" x14ac:dyDescent="0.25">
      <c r="D23" s="100"/>
      <c r="E23" s="89" t="s">
        <v>352</v>
      </c>
      <c r="G23" s="89" t="s">
        <v>167</v>
      </c>
      <c r="H23" s="159">
        <f>'General inputs'!H92</f>
        <v>4.9000000000000002E-2</v>
      </c>
      <c r="I23" s="3"/>
      <c r="J23" s="3"/>
      <c r="K23" s="3"/>
      <c r="L23" s="3"/>
      <c r="M23" s="3"/>
      <c r="N23" s="3"/>
      <c r="O23" s="3"/>
      <c r="P23" s="3"/>
      <c r="Q23" s="3"/>
      <c r="R23" s="3"/>
      <c r="S23" s="3"/>
      <c r="T23" s="3"/>
      <c r="U23" s="3"/>
    </row>
    <row r="24" spans="3:25" x14ac:dyDescent="0.25">
      <c r="D24" s="100"/>
      <c r="E24" s="89" t="s">
        <v>163</v>
      </c>
      <c r="G24" s="89" t="s">
        <v>164</v>
      </c>
      <c r="H24" s="64">
        <f>'Fixed inputs'!H35</f>
        <v>40</v>
      </c>
      <c r="I24" s="3"/>
      <c r="J24" s="3"/>
      <c r="K24" s="3"/>
      <c r="L24" s="3"/>
      <c r="M24" s="3"/>
      <c r="N24" s="3"/>
      <c r="O24" s="3"/>
      <c r="P24" s="3"/>
      <c r="Q24" s="3"/>
      <c r="R24" s="3"/>
      <c r="S24" s="3"/>
      <c r="T24" s="3"/>
      <c r="U24" s="3"/>
      <c r="W24" s="3"/>
    </row>
    <row r="25" spans="3:25" x14ac:dyDescent="0.25">
      <c r="E25" s="89" t="s">
        <v>566</v>
      </c>
      <c r="G25" s="89" t="s">
        <v>167</v>
      </c>
      <c r="H25" s="239">
        <f>H23 / (1 - (1 + H23) ^ -H24)</f>
        <v>5.7482322471779264E-2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567</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568</v>
      </c>
      <c r="F31" s="162"/>
      <c r="G31" s="89" t="s">
        <v>569</v>
      </c>
      <c r="H31" s="3"/>
      <c r="I31" s="3"/>
      <c r="J31" s="114"/>
      <c r="K31" s="163">
        <f>'Load &amp; loss characteristics'!K29</f>
        <v>1</v>
      </c>
      <c r="L31" s="163">
        <f>'Load &amp; loss characteristics'!L29</f>
        <v>1</v>
      </c>
      <c r="M31" s="163">
        <f>'Load &amp; loss characteristics'!M29</f>
        <v>1</v>
      </c>
      <c r="N31" s="163">
        <f>'Load &amp; loss characteristics'!N29</f>
        <v>1.0029999999999999</v>
      </c>
      <c r="O31" s="163">
        <f>'Load &amp; loss characteristics'!O29</f>
        <v>1.0129999999999999</v>
      </c>
      <c r="P31" s="163">
        <f>'Load &amp; loss characteristics'!P29</f>
        <v>1.0129999999999999</v>
      </c>
      <c r="Q31" s="163">
        <f>'Load &amp; loss characteristics'!Q29</f>
        <v>1.0249999999999999</v>
      </c>
      <c r="R31" s="163">
        <f>'Load &amp; loss characteristics'!R29</f>
        <v>1.044</v>
      </c>
      <c r="S31" s="163">
        <f>'Load &amp; loss characteristics'!S29</f>
        <v>1.109</v>
      </c>
      <c r="T31" s="114"/>
      <c r="U31" s="114"/>
    </row>
    <row r="32" spans="3:25" x14ac:dyDescent="0.25">
      <c r="E32" t="s">
        <v>570</v>
      </c>
      <c r="F32" s="240"/>
      <c r="G32" s="89" t="s">
        <v>167</v>
      </c>
      <c r="H32" s="3"/>
      <c r="I32" s="3"/>
      <c r="J32" s="241"/>
      <c r="K32" s="242">
        <f>'Load &amp; loss characteristics'!$K$23</f>
        <v>0.1160000000000001</v>
      </c>
      <c r="L32" s="243"/>
      <c r="M32" s="243"/>
      <c r="N32" s="243"/>
      <c r="O32" s="243"/>
      <c r="P32" s="241"/>
      <c r="Q32" s="243"/>
      <c r="R32" s="243"/>
      <c r="S32" s="243"/>
      <c r="T32" s="241"/>
      <c r="U32" s="241"/>
      <c r="Y32" s="244"/>
    </row>
    <row r="33" spans="3:23" x14ac:dyDescent="0.25">
      <c r="E33" t="s">
        <v>571</v>
      </c>
      <c r="F33" s="162"/>
      <c r="G33" s="89" t="s">
        <v>167</v>
      </c>
      <c r="H33" s="3"/>
      <c r="I33" s="3"/>
      <c r="J33" s="98"/>
      <c r="K33" s="239">
        <f xml:space="preserve"> 1 / (1 + K32)</f>
        <v>0.8960573476702508</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572</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171</v>
      </c>
      <c r="F39" s="162"/>
      <c r="G39" s="89" t="s">
        <v>172</v>
      </c>
      <c r="H39" s="163">
        <f>'Fixed inputs'!H41</f>
        <v>500</v>
      </c>
      <c r="I39" s="3"/>
      <c r="J39" s="114"/>
      <c r="K39" s="114"/>
      <c r="L39" s="114"/>
      <c r="M39" s="114"/>
      <c r="N39" s="114"/>
      <c r="O39" s="114"/>
      <c r="P39" s="114"/>
      <c r="Q39" s="114"/>
      <c r="R39" s="114"/>
      <c r="S39" s="114"/>
      <c r="T39" s="114"/>
      <c r="U39" s="114"/>
      <c r="W39" s="3"/>
    </row>
    <row r="40" spans="3:23" x14ac:dyDescent="0.25">
      <c r="E40" t="s">
        <v>573</v>
      </c>
      <c r="F40" s="162"/>
      <c r="G40" s="89" t="s">
        <v>172</v>
      </c>
      <c r="H40" s="3"/>
      <c r="I40" s="3" t="s">
        <v>154</v>
      </c>
      <c r="J40" s="114"/>
      <c r="K40" s="245">
        <f t="shared" ref="K40:S40" si="0">$H$39 * $K$33 / K31</f>
        <v>448.0286738351254</v>
      </c>
      <c r="L40" s="245">
        <f t="shared" si="0"/>
        <v>448.0286738351254</v>
      </c>
      <c r="M40" s="245">
        <f t="shared" si="0"/>
        <v>448.0286738351254</v>
      </c>
      <c r="N40" s="245">
        <f t="shared" si="0"/>
        <v>446.68860801109219</v>
      </c>
      <c r="O40" s="245">
        <f t="shared" si="0"/>
        <v>442.27904623408239</v>
      </c>
      <c r="P40" s="245">
        <f t="shared" si="0"/>
        <v>442.27904623408239</v>
      </c>
      <c r="Q40" s="245">
        <f t="shared" si="0"/>
        <v>437.10114520500042</v>
      </c>
      <c r="R40" s="245">
        <f t="shared" si="0"/>
        <v>429.14623930567564</v>
      </c>
      <c r="S40" s="245">
        <f t="shared" si="0"/>
        <v>403.99339390002291</v>
      </c>
      <c r="T40" s="114"/>
      <c r="U40" s="114"/>
      <c r="W40" s="3" t="s">
        <v>574</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575</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281</v>
      </c>
      <c r="G46" s="89" t="s">
        <v>167</v>
      </c>
      <c r="H46" s="3"/>
      <c r="I46" s="3"/>
      <c r="J46" s="243"/>
      <c r="K46" s="243"/>
      <c r="L46" s="243"/>
      <c r="M46" s="243"/>
      <c r="N46" s="243"/>
      <c r="O46" s="243"/>
      <c r="P46" s="242">
        <f>'Inputs by network level'!P17</f>
        <v>0</v>
      </c>
      <c r="Q46" s="243"/>
      <c r="R46" s="243"/>
      <c r="S46" s="243"/>
      <c r="T46" s="243"/>
      <c r="U46" s="243"/>
      <c r="W46" s="3"/>
    </row>
    <row r="47" spans="3:23" x14ac:dyDescent="0.25">
      <c r="E47" s="89" t="s">
        <v>576</v>
      </c>
      <c r="G47" s="89" t="s">
        <v>167</v>
      </c>
      <c r="H47" s="3"/>
      <c r="I47" s="3"/>
      <c r="J47" s="243"/>
      <c r="K47" s="243"/>
      <c r="L47" s="243"/>
      <c r="M47" s="239">
        <f>IF(M46 = "", 1 - $P$46, M46)</f>
        <v>1</v>
      </c>
      <c r="N47" s="239">
        <f>IF(N46 = "", 1 - $P$46, N46)</f>
        <v>1</v>
      </c>
      <c r="O47" s="239">
        <f>IF(O46 = "", 1 - $P$46, O46)</f>
        <v>1</v>
      </c>
      <c r="P47" s="239">
        <f>IF(P46 = "", 1 - $P$46, P46)</f>
        <v>0</v>
      </c>
      <c r="Q47" s="243"/>
      <c r="R47" s="243"/>
      <c r="S47" s="243"/>
      <c r="T47" s="243"/>
      <c r="U47" s="243"/>
      <c r="W47" s="3"/>
    </row>
    <row r="48" spans="3:23" x14ac:dyDescent="0.25">
      <c r="E48" s="89" t="s">
        <v>577</v>
      </c>
      <c r="G48" s="89" t="s">
        <v>172</v>
      </c>
      <c r="H48" s="3"/>
      <c r="I48" s="3"/>
      <c r="J48" s="114"/>
      <c r="K48" s="141">
        <f t="shared" ref="K48:S48" si="1">IF(K47 = "", K40, K47 * K40)</f>
        <v>448.0286738351254</v>
      </c>
      <c r="L48" s="141">
        <f t="shared" si="1"/>
        <v>448.0286738351254</v>
      </c>
      <c r="M48" s="141">
        <f t="shared" si="1"/>
        <v>448.0286738351254</v>
      </c>
      <c r="N48" s="141">
        <f t="shared" si="1"/>
        <v>446.68860801109219</v>
      </c>
      <c r="O48" s="141">
        <f t="shared" si="1"/>
        <v>442.27904623408239</v>
      </c>
      <c r="P48" s="141">
        <f t="shared" si="1"/>
        <v>0</v>
      </c>
      <c r="Q48" s="141">
        <f t="shared" si="1"/>
        <v>437.10114520500042</v>
      </c>
      <c r="R48" s="141">
        <f t="shared" si="1"/>
        <v>429.14623930567564</v>
      </c>
      <c r="S48" s="141">
        <f t="shared" si="1"/>
        <v>403.99339390002291</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578</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579</v>
      </c>
      <c r="F54" s="240"/>
      <c r="G54" s="89" t="s">
        <v>277</v>
      </c>
      <c r="H54" s="3"/>
      <c r="I54" s="3"/>
      <c r="J54" s="114"/>
      <c r="K54" s="114"/>
      <c r="L54" s="163">
        <f>'Inputs by network level'!L33</f>
        <v>0</v>
      </c>
      <c r="M54" s="163">
        <f>'Inputs by network level'!M33</f>
        <v>0</v>
      </c>
      <c r="N54" s="163">
        <f>'Inputs by network level'!N33</f>
        <v>136254397.18751031</v>
      </c>
      <c r="O54" s="163">
        <f>'Inputs by network level'!O33</f>
        <v>34914496.191689178</v>
      </c>
      <c r="P54" s="163">
        <f>'Inputs by network level'!P33</f>
        <v>0</v>
      </c>
      <c r="Q54" s="163">
        <f>'Inputs by network level'!Q33</f>
        <v>150203140.73142385</v>
      </c>
      <c r="R54" s="163">
        <f>'Inputs by network level'!R33</f>
        <v>37750302.331639282</v>
      </c>
      <c r="S54" s="163">
        <f>'Inputs by network level'!S33</f>
        <v>63497202.033343598</v>
      </c>
      <c r="T54" s="114"/>
      <c r="U54" s="114"/>
      <c r="W54" s="3"/>
    </row>
    <row r="55" spans="2:23" x14ac:dyDescent="0.25">
      <c r="E55" t="s">
        <v>580</v>
      </c>
      <c r="F55" s="240"/>
      <c r="G55" s="89" t="s">
        <v>581</v>
      </c>
      <c r="H55" s="3"/>
      <c r="I55" s="3"/>
      <c r="J55" s="114"/>
      <c r="K55" s="114"/>
      <c r="L55" s="141">
        <f t="shared" ref="L55:S55" si="2">IF(L48 = 0, 0, L54 / (L48 * thousand))</f>
        <v>0</v>
      </c>
      <c r="M55" s="141">
        <f t="shared" si="2"/>
        <v>0</v>
      </c>
      <c r="N55" s="141">
        <f t="shared" si="2"/>
        <v>305.03217396609057</v>
      </c>
      <c r="O55" s="141">
        <f t="shared" si="2"/>
        <v>78.942234521348297</v>
      </c>
      <c r="P55" s="141">
        <f t="shared" si="2"/>
        <v>0</v>
      </c>
      <c r="Q55" s="141">
        <f t="shared" si="2"/>
        <v>343.63474536535153</v>
      </c>
      <c r="R55" s="141">
        <f t="shared" si="2"/>
        <v>87.966056495604533</v>
      </c>
      <c r="S55" s="141">
        <f t="shared" si="2"/>
        <v>157.17386222671104</v>
      </c>
      <c r="T55" s="114"/>
      <c r="U55" s="114"/>
      <c r="W55" s="3"/>
    </row>
    <row r="56" spans="2:23" x14ac:dyDescent="0.25">
      <c r="E56" t="s">
        <v>582</v>
      </c>
      <c r="F56" s="240"/>
      <c r="G56" s="89" t="s">
        <v>583</v>
      </c>
      <c r="H56" s="3"/>
      <c r="I56" s="3" t="s">
        <v>154</v>
      </c>
      <c r="J56" s="114"/>
      <c r="K56" s="114"/>
      <c r="L56" s="141">
        <f t="shared" ref="L56:S56" si="3">L55 * $H$25</f>
        <v>0</v>
      </c>
      <c r="M56" s="141">
        <f t="shared" si="3"/>
        <v>0</v>
      </c>
      <c r="N56" s="141">
        <f t="shared" si="3"/>
        <v>17.53395778818669</v>
      </c>
      <c r="O56" s="141">
        <f t="shared" si="3"/>
        <v>4.5377829813989683</v>
      </c>
      <c r="P56" s="141">
        <f t="shared" si="3"/>
        <v>0</v>
      </c>
      <c r="Q56" s="141">
        <f t="shared" si="3"/>
        <v>19.752923245598893</v>
      </c>
      <c r="R56" s="141">
        <f t="shared" si="3"/>
        <v>5.0564932260510931</v>
      </c>
      <c r="S56" s="141">
        <f t="shared" si="3"/>
        <v>9.0347186326508098</v>
      </c>
      <c r="T56" s="114"/>
      <c r="U56" s="114"/>
      <c r="W56" s="3" t="s">
        <v>584</v>
      </c>
    </row>
    <row r="57" spans="2:23" x14ac:dyDescent="0.25">
      <c r="H57" s="3"/>
      <c r="I57" s="3"/>
      <c r="J57" s="170"/>
      <c r="K57" s="170"/>
      <c r="L57" s="170"/>
      <c r="M57" s="170"/>
      <c r="N57" s="170"/>
      <c r="O57" s="170"/>
      <c r="P57" s="170"/>
      <c r="Q57" s="170"/>
      <c r="R57" s="170"/>
      <c r="S57" s="170"/>
      <c r="T57" s="170"/>
      <c r="U57" s="170"/>
      <c r="W57" s="3"/>
    </row>
    <row r="58" spans="2:23" x14ac:dyDescent="0.25">
      <c r="B58" s="70" t="s">
        <v>585</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586</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587</v>
      </c>
      <c r="G64" t="s">
        <v>172</v>
      </c>
      <c r="J64" s="114"/>
      <c r="K64" s="163">
        <f t="array" ref="K64:S64">TRANSPOSE('System peak demand'!H269:H277)</f>
        <v>2638.9621762212237</v>
      </c>
      <c r="L64" s="163">
        <v>0</v>
      </c>
      <c r="M64" s="163">
        <v>0</v>
      </c>
      <c r="N64" s="163">
        <v>2749.0396461862065</v>
      </c>
      <c r="O64" s="163">
        <v>3166.0422859517926</v>
      </c>
      <c r="P64" s="163">
        <v>0</v>
      </c>
      <c r="Q64" s="163">
        <v>3212.4872685586693</v>
      </c>
      <c r="R64" s="163">
        <v>2793.2769745847254</v>
      </c>
      <c r="S64" s="163">
        <v>2064.9308940710307</v>
      </c>
      <c r="T64" s="114"/>
      <c r="U64" s="114"/>
    </row>
    <row r="65" spans="3:24" x14ac:dyDescent="0.25">
      <c r="E65" s="89" t="s">
        <v>588</v>
      </c>
      <c r="F65" s="89"/>
      <c r="G65" s="89" t="s">
        <v>172</v>
      </c>
      <c r="H65" s="146"/>
      <c r="J65" s="141">
        <f>K64</f>
        <v>2638.9621762212237</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587</v>
      </c>
      <c r="F67" s="89"/>
      <c r="G67" s="89" t="s">
        <v>518</v>
      </c>
      <c r="H67" s="146"/>
      <c r="J67" s="141">
        <f t="shared" ref="J67:S67" si="4">SUM(J64:J65) * thousand</f>
        <v>2638962.1762212235</v>
      </c>
      <c r="K67" s="141">
        <f t="shared" si="4"/>
        <v>2638962.1762212235</v>
      </c>
      <c r="L67" s="141">
        <f t="shared" si="4"/>
        <v>0</v>
      </c>
      <c r="M67" s="141">
        <f t="shared" si="4"/>
        <v>0</v>
      </c>
      <c r="N67" s="141">
        <f t="shared" si="4"/>
        <v>2749039.6461862065</v>
      </c>
      <c r="O67" s="141">
        <f t="shared" si="4"/>
        <v>3166042.2859517927</v>
      </c>
      <c r="P67" s="141">
        <f t="shared" si="4"/>
        <v>0</v>
      </c>
      <c r="Q67" s="141">
        <f t="shared" si="4"/>
        <v>3212487.2685586694</v>
      </c>
      <c r="R67" s="141">
        <f t="shared" si="4"/>
        <v>2793276.9745847252</v>
      </c>
      <c r="S67" s="141">
        <f t="shared" si="4"/>
        <v>2064930.8940710307</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589</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590</v>
      </c>
      <c r="F73" s="89"/>
      <c r="G73" s="89" t="s">
        <v>277</v>
      </c>
      <c r="J73" s="114"/>
      <c r="K73" s="114"/>
      <c r="L73" s="141">
        <f t="shared" ref="L73:S73" si="5">L67 * L55</f>
        <v>0</v>
      </c>
      <c r="M73" s="141">
        <f t="shared" si="5"/>
        <v>0</v>
      </c>
      <c r="N73" s="141">
        <f t="shared" si="5"/>
        <v>838545539.59515095</v>
      </c>
      <c r="O73" s="141">
        <f t="shared" si="5"/>
        <v>249934452.64211208</v>
      </c>
      <c r="P73" s="141">
        <f t="shared" si="5"/>
        <v>0</v>
      </c>
      <c r="Q73" s="141">
        <f t="shared" si="5"/>
        <v>1103922244.520592</v>
      </c>
      <c r="R73" s="141">
        <f t="shared" si="5"/>
        <v>245713560.15419126</v>
      </c>
      <c r="S73" s="141">
        <f t="shared" si="5"/>
        <v>324553163.85239941</v>
      </c>
      <c r="T73" s="114"/>
      <c r="U73" s="114"/>
      <c r="X73" s="92"/>
    </row>
    <row r="74" spans="3:24" x14ac:dyDescent="0.25">
      <c r="E74" s="89" t="s">
        <v>591</v>
      </c>
      <c r="F74" s="89"/>
      <c r="G74" s="89" t="s">
        <v>277</v>
      </c>
      <c r="J74" s="114"/>
      <c r="K74" s="114"/>
      <c r="L74" s="114"/>
      <c r="M74" s="114"/>
      <c r="N74" s="114"/>
      <c r="O74" s="114"/>
      <c r="P74" s="114"/>
      <c r="Q74" s="114"/>
      <c r="R74" s="114"/>
      <c r="S74" s="114"/>
      <c r="T74" s="163">
        <f>'Service model assets'!H33</f>
        <v>847882332.50550389</v>
      </c>
      <c r="U74" s="163">
        <f>'Service model assets'!H34</f>
        <v>19036858.31721276</v>
      </c>
      <c r="X74" s="92"/>
    </row>
    <row r="75" spans="3:24" x14ac:dyDescent="0.25">
      <c r="J75" s="101"/>
      <c r="K75" s="101"/>
      <c r="L75" s="101"/>
      <c r="M75" s="101"/>
      <c r="N75" s="101"/>
      <c r="O75" s="101"/>
      <c r="P75" s="101"/>
      <c r="Q75" s="101"/>
      <c r="R75" s="101"/>
      <c r="S75" s="101"/>
      <c r="T75" s="101"/>
      <c r="U75" s="101"/>
      <c r="X75" s="92"/>
    </row>
    <row r="76" spans="3:24" x14ac:dyDescent="0.25">
      <c r="E76" s="89" t="s">
        <v>592</v>
      </c>
      <c r="F76" s="89"/>
      <c r="G76" s="89" t="s">
        <v>277</v>
      </c>
      <c r="I76" t="s">
        <v>154</v>
      </c>
      <c r="J76" s="114"/>
      <c r="K76" s="141">
        <f t="shared" ref="K76:U76" si="6">K73 + K74</f>
        <v>0</v>
      </c>
      <c r="L76" s="141">
        <f t="shared" si="6"/>
        <v>0</v>
      </c>
      <c r="M76" s="141">
        <f t="shared" si="6"/>
        <v>0</v>
      </c>
      <c r="N76" s="141">
        <f t="shared" si="6"/>
        <v>838545539.59515095</v>
      </c>
      <c r="O76" s="141">
        <f t="shared" si="6"/>
        <v>249934452.64211208</v>
      </c>
      <c r="P76" s="141">
        <f t="shared" si="6"/>
        <v>0</v>
      </c>
      <c r="Q76" s="141">
        <f t="shared" si="6"/>
        <v>1103922244.520592</v>
      </c>
      <c r="R76" s="141">
        <f t="shared" si="6"/>
        <v>245713560.15419126</v>
      </c>
      <c r="S76" s="141">
        <f t="shared" si="6"/>
        <v>324553163.85239941</v>
      </c>
      <c r="T76" s="141">
        <f t="shared" si="6"/>
        <v>847882332.50550389</v>
      </c>
      <c r="U76" s="141">
        <f t="shared" si="6"/>
        <v>19036858.31721276</v>
      </c>
      <c r="W76" s="3" t="s">
        <v>593</v>
      </c>
      <c r="X76" s="92"/>
    </row>
    <row r="77" spans="3:24" x14ac:dyDescent="0.25">
      <c r="L77" s="92"/>
      <c r="M77" s="92"/>
      <c r="N77" s="92"/>
      <c r="O77" s="92"/>
      <c r="P77" s="92"/>
      <c r="Q77" s="92"/>
      <c r="R77" s="92"/>
      <c r="S77" s="92"/>
      <c r="T77" s="92"/>
      <c r="U77" s="92"/>
      <c r="X77" s="92"/>
    </row>
    <row r="78" spans="3:24" x14ac:dyDescent="0.25">
      <c r="E78" s="89" t="s">
        <v>594</v>
      </c>
      <c r="F78" s="89"/>
      <c r="G78" s="89" t="s">
        <v>167</v>
      </c>
      <c r="J78" s="243"/>
      <c r="K78" s="188">
        <f t="shared" ref="K78:U78" si="7">K76 / SUM($K$76:$U$76)</f>
        <v>0</v>
      </c>
      <c r="L78" s="188">
        <f t="shared" si="7"/>
        <v>0</v>
      </c>
      <c r="M78" s="188">
        <f t="shared" si="7"/>
        <v>0</v>
      </c>
      <c r="N78" s="188">
        <f t="shared" si="7"/>
        <v>0.23103049287519523</v>
      </c>
      <c r="O78" s="188">
        <f t="shared" si="7"/>
        <v>6.8860278963832192E-2</v>
      </c>
      <c r="P78" s="188">
        <f t="shared" si="7"/>
        <v>0</v>
      </c>
      <c r="Q78" s="188">
        <f t="shared" si="7"/>
        <v>0.30414531853644716</v>
      </c>
      <c r="R78" s="188">
        <f t="shared" si="7"/>
        <v>6.7697366723754746E-2</v>
      </c>
      <c r="S78" s="188">
        <f t="shared" si="7"/>
        <v>8.9418730251937084E-2</v>
      </c>
      <c r="T78" s="188">
        <f t="shared" si="7"/>
        <v>0.23360290399194139</v>
      </c>
      <c r="U78" s="188">
        <f t="shared" si="7"/>
        <v>5.2449086568921704E-3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595</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169</v>
      </c>
      <c r="F84" s="89"/>
      <c r="G84" s="89" t="s">
        <v>167</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359</v>
      </c>
      <c r="F86" s="89"/>
      <c r="G86" s="89" t="s">
        <v>356</v>
      </c>
      <c r="H86" s="163">
        <f>'General inputs'!H103</f>
        <v>30251739.372233275</v>
      </c>
      <c r="L86" s="92"/>
      <c r="M86" s="92"/>
      <c r="N86" s="92"/>
      <c r="O86" s="92"/>
      <c r="P86" s="92"/>
      <c r="Q86" s="92"/>
      <c r="R86" s="92"/>
      <c r="S86" s="92"/>
      <c r="T86" s="92"/>
      <c r="U86" s="92"/>
    </row>
    <row r="87" spans="3:23" x14ac:dyDescent="0.25">
      <c r="E87" s="89" t="s">
        <v>360</v>
      </c>
      <c r="F87" s="89"/>
      <c r="G87" s="89" t="s">
        <v>356</v>
      </c>
      <c r="H87" s="163">
        <f>'General inputs'!H104</f>
        <v>141403070.68795109</v>
      </c>
      <c r="L87" s="92"/>
      <c r="M87" s="92"/>
      <c r="N87" s="92"/>
      <c r="O87" s="92"/>
      <c r="P87" s="92"/>
      <c r="Q87" s="92"/>
      <c r="R87" s="92"/>
      <c r="S87" s="92"/>
      <c r="T87" s="92"/>
      <c r="U87" s="92"/>
    </row>
    <row r="88" spans="3:23" x14ac:dyDescent="0.25">
      <c r="E88" s="89" t="s">
        <v>361</v>
      </c>
      <c r="F88" s="89"/>
      <c r="G88" s="89" t="s">
        <v>356</v>
      </c>
      <c r="H88" s="163">
        <f>'General inputs'!H105</f>
        <v>41279187.387781531</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596</v>
      </c>
      <c r="F90" s="89"/>
      <c r="G90" s="89" t="s">
        <v>356</v>
      </c>
      <c r="H90" s="141">
        <f>H86 + H87 * H84 + H88</f>
        <v>156372769.17278546</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597</v>
      </c>
      <c r="H94" s="92"/>
      <c r="L94" s="92"/>
      <c r="M94" s="92"/>
      <c r="N94" s="92"/>
      <c r="O94" s="92"/>
      <c r="P94" s="92"/>
      <c r="Q94" s="92"/>
      <c r="R94" s="92"/>
      <c r="S94" s="92"/>
      <c r="T94" s="92"/>
      <c r="U94" s="92"/>
    </row>
    <row r="95" spans="3:23" x14ac:dyDescent="0.25">
      <c r="D95" s="71" t="s">
        <v>598</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599</v>
      </c>
      <c r="F97" s="89"/>
      <c r="G97" s="89" t="s">
        <v>356</v>
      </c>
      <c r="I97" t="s">
        <v>154</v>
      </c>
      <c r="J97" s="114"/>
      <c r="K97" s="141">
        <f t="shared" ref="K97:U97" si="8">K78 * $H$90</f>
        <v>0</v>
      </c>
      <c r="L97" s="141">
        <f t="shared" si="8"/>
        <v>0</v>
      </c>
      <c r="M97" s="141">
        <f t="shared" si="8"/>
        <v>0</v>
      </c>
      <c r="N97" s="141">
        <f t="shared" si="8"/>
        <v>36126877.934247762</v>
      </c>
      <c r="O97" s="141">
        <f t="shared" si="8"/>
        <v>10767872.507584946</v>
      </c>
      <c r="P97" s="141">
        <f t="shared" si="8"/>
        <v>0</v>
      </c>
      <c r="Q97" s="141">
        <f t="shared" si="8"/>
        <v>47560045.69048316</v>
      </c>
      <c r="R97" s="141">
        <f t="shared" si="8"/>
        <v>10586024.700299108</v>
      </c>
      <c r="S97" s="141">
        <f t="shared" si="8"/>
        <v>13982654.465409726</v>
      </c>
      <c r="T97" s="141">
        <f t="shared" si="8"/>
        <v>36529132.984024212</v>
      </c>
      <c r="U97" s="141">
        <f t="shared" si="8"/>
        <v>820160.89073654357</v>
      </c>
      <c r="W97" s="3" t="s">
        <v>600</v>
      </c>
    </row>
    <row r="98" spans="2:23" x14ac:dyDescent="0.25">
      <c r="E98" s="89" t="s">
        <v>355</v>
      </c>
      <c r="F98" s="89"/>
      <c r="G98" s="89" t="s">
        <v>356</v>
      </c>
      <c r="H98" s="92"/>
      <c r="I98" s="92"/>
      <c r="J98" s="163">
        <f>'General inputs'!$H$98</f>
        <v>28092337.073884003</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601</v>
      </c>
      <c r="F100" s="89"/>
      <c r="G100" s="89" t="s">
        <v>602</v>
      </c>
      <c r="I100" t="s">
        <v>154</v>
      </c>
      <c r="J100" s="141">
        <f t="shared" ref="J100:S100" si="9">IF(J$67 = 0, 0, SUM(J97:J98) / J$67)</f>
        <v>10.645221567407956</v>
      </c>
      <c r="K100" s="141">
        <f t="shared" si="9"/>
        <v>0</v>
      </c>
      <c r="L100" s="141">
        <f t="shared" si="9"/>
        <v>0</v>
      </c>
      <c r="M100" s="141">
        <f t="shared" si="9"/>
        <v>0</v>
      </c>
      <c r="N100" s="141">
        <f t="shared" si="9"/>
        <v>13.141635837943351</v>
      </c>
      <c r="O100" s="141">
        <f t="shared" si="9"/>
        <v>3.4010513868888048</v>
      </c>
      <c r="P100" s="141">
        <f t="shared" si="9"/>
        <v>0</v>
      </c>
      <c r="Q100" s="141">
        <f t="shared" si="9"/>
        <v>14.804742156012244</v>
      </c>
      <c r="R100" s="141">
        <f t="shared" si="9"/>
        <v>3.7898227768382782</v>
      </c>
      <c r="S100" s="141">
        <f t="shared" si="9"/>
        <v>6.7714878524785842</v>
      </c>
      <c r="T100" s="114"/>
      <c r="U100" s="114"/>
      <c r="W100" s="3" t="s">
        <v>603</v>
      </c>
    </row>
    <row r="101" spans="2:23" x14ac:dyDescent="0.25">
      <c r="J101" s="101"/>
      <c r="K101" s="101"/>
      <c r="L101" s="101"/>
      <c r="M101" s="101"/>
      <c r="N101" s="101"/>
      <c r="O101" s="101"/>
      <c r="P101" s="101"/>
      <c r="Q101" s="101"/>
      <c r="R101" s="101"/>
      <c r="S101" s="101"/>
      <c r="T101" s="101"/>
      <c r="U101" s="101"/>
    </row>
    <row r="102" spans="2:23" x14ac:dyDescent="0.25">
      <c r="B102" s="70" t="s">
        <v>604</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605</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592</v>
      </c>
      <c r="F108" s="89"/>
      <c r="G108" s="89" t="s">
        <v>277</v>
      </c>
      <c r="J108" s="114"/>
      <c r="K108" s="164">
        <f t="shared" ref="K108:U108" si="10">K76</f>
        <v>0</v>
      </c>
      <c r="L108" s="164">
        <f t="shared" si="10"/>
        <v>0</v>
      </c>
      <c r="M108" s="164">
        <f t="shared" si="10"/>
        <v>0</v>
      </c>
      <c r="N108" s="164">
        <f t="shared" si="10"/>
        <v>838545539.59515095</v>
      </c>
      <c r="O108" s="164">
        <f t="shared" si="10"/>
        <v>249934452.64211208</v>
      </c>
      <c r="P108" s="164">
        <f t="shared" si="10"/>
        <v>0</v>
      </c>
      <c r="Q108" s="164">
        <f t="shared" si="10"/>
        <v>1103922244.520592</v>
      </c>
      <c r="R108" s="164">
        <f t="shared" si="10"/>
        <v>245713560.15419126</v>
      </c>
      <c r="S108" s="164">
        <f t="shared" si="10"/>
        <v>324553163.85239941</v>
      </c>
      <c r="T108" s="164">
        <f t="shared" si="10"/>
        <v>847882332.50550389</v>
      </c>
      <c r="U108" s="164">
        <f t="shared" si="10"/>
        <v>19036858.31721276</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606</v>
      </c>
    </row>
    <row r="113" spans="2:24" x14ac:dyDescent="0.25">
      <c r="B113" s="71"/>
      <c r="D113" s="71"/>
    </row>
    <row r="114" spans="2:24" x14ac:dyDescent="0.25">
      <c r="E114" t="s">
        <v>582</v>
      </c>
      <c r="F114" s="240"/>
      <c r="G114" s="89" t="s">
        <v>602</v>
      </c>
      <c r="H114" s="3"/>
      <c r="I114" s="3"/>
      <c r="J114" s="114"/>
      <c r="K114" s="114"/>
      <c r="L114" s="164">
        <f t="shared" ref="L114:S114" si="11">L56</f>
        <v>0</v>
      </c>
      <c r="M114" s="164">
        <f t="shared" si="11"/>
        <v>0</v>
      </c>
      <c r="N114" s="164">
        <f t="shared" si="11"/>
        <v>17.53395778818669</v>
      </c>
      <c r="O114" s="164">
        <f t="shared" si="11"/>
        <v>4.5377829813989683</v>
      </c>
      <c r="P114" s="164">
        <f t="shared" si="11"/>
        <v>0</v>
      </c>
      <c r="Q114" s="164">
        <f t="shared" si="11"/>
        <v>19.752923245598893</v>
      </c>
      <c r="R114" s="164">
        <f t="shared" si="11"/>
        <v>5.0564932260510931</v>
      </c>
      <c r="S114" s="164">
        <f t="shared" si="11"/>
        <v>9.0347186326508098</v>
      </c>
      <c r="T114" s="114"/>
      <c r="U114" s="114"/>
    </row>
    <row r="115" spans="2:24" x14ac:dyDescent="0.25">
      <c r="B115" s="71"/>
      <c r="E115" t="s">
        <v>601</v>
      </c>
      <c r="F115" s="89"/>
      <c r="G115" s="89" t="s">
        <v>602</v>
      </c>
      <c r="J115" s="164">
        <f t="shared" ref="J115:S115" si="12">J100</f>
        <v>10.645221567407956</v>
      </c>
      <c r="K115" s="164">
        <f t="shared" si="12"/>
        <v>0</v>
      </c>
      <c r="L115" s="164">
        <f t="shared" si="12"/>
        <v>0</v>
      </c>
      <c r="M115" s="164">
        <f t="shared" si="12"/>
        <v>0</v>
      </c>
      <c r="N115" s="164">
        <f t="shared" si="12"/>
        <v>13.141635837943351</v>
      </c>
      <c r="O115" s="164">
        <f t="shared" si="12"/>
        <v>3.4010513868888048</v>
      </c>
      <c r="P115" s="164">
        <f t="shared" si="12"/>
        <v>0</v>
      </c>
      <c r="Q115" s="164">
        <f t="shared" si="12"/>
        <v>14.804742156012244</v>
      </c>
      <c r="R115" s="164">
        <f t="shared" si="12"/>
        <v>3.7898227768382782</v>
      </c>
      <c r="S115" s="164">
        <f t="shared" si="12"/>
        <v>6.7714878524785842</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607</v>
      </c>
    </row>
    <row r="120" spans="2:24" x14ac:dyDescent="0.25">
      <c r="B120" s="71"/>
      <c r="D120" s="71"/>
    </row>
    <row r="121" spans="2:24" x14ac:dyDescent="0.25">
      <c r="B121" s="71"/>
      <c r="C121" s="60"/>
      <c r="E121" t="s">
        <v>566</v>
      </c>
      <c r="F121" s="89"/>
      <c r="G121" s="89" t="s">
        <v>167</v>
      </c>
      <c r="H121" s="249">
        <f>H25</f>
        <v>5.7482322471779264E-2</v>
      </c>
    </row>
    <row r="122" spans="2:24" x14ac:dyDescent="0.25">
      <c r="B122" s="71"/>
      <c r="C122" s="60"/>
      <c r="E122" t="s">
        <v>596</v>
      </c>
      <c r="F122" s="89"/>
      <c r="G122" s="89" t="s">
        <v>356</v>
      </c>
      <c r="H122" s="164">
        <f>H90</f>
        <v>156372769.17278546</v>
      </c>
    </row>
    <row r="123" spans="2:24" x14ac:dyDescent="0.25">
      <c r="E123" t="s">
        <v>592</v>
      </c>
      <c r="F123" s="89"/>
      <c r="G123" s="89" t="s">
        <v>277</v>
      </c>
      <c r="H123" s="164">
        <f>SUM(K76:U76)</f>
        <v>3629588151.5871625</v>
      </c>
      <c r="X123" s="92"/>
    </row>
    <row r="124" spans="2:24" x14ac:dyDescent="0.25">
      <c r="B124" s="71"/>
      <c r="C124" s="60"/>
    </row>
    <row r="125" spans="2:24" x14ac:dyDescent="0.25">
      <c r="B125" s="70" t="s">
        <v>231</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232</v>
      </c>
      <c r="G127" s="6" t="s">
        <v>55</v>
      </c>
      <c r="H127" s="250">
        <f t="array" ref="H127">SUM(IF(ISERROR(H23:U123), 1))</f>
        <v>0</v>
      </c>
    </row>
    <row r="129" spans="2:23" x14ac:dyDescent="0.25">
      <c r="E129" t="s">
        <v>608</v>
      </c>
      <c r="G129" s="6" t="s">
        <v>55</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239</v>
      </c>
      <c r="G131" s="6" t="s">
        <v>55</v>
      </c>
      <c r="H131" s="108">
        <f>H127 + H129</f>
        <v>0</v>
      </c>
    </row>
    <row r="133" spans="2:23" x14ac:dyDescent="0.25">
      <c r="B133" s="70" t="s">
        <v>106</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6" spans="1:27" x14ac:dyDescent="0.25">
      <c r="H6" s="3"/>
      <c r="I6" s="3"/>
      <c r="J6" s="3"/>
      <c r="K6" s="3"/>
      <c r="L6" s="3"/>
      <c r="M6" s="3"/>
      <c r="N6" s="3"/>
      <c r="P6" s="3"/>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609</v>
      </c>
      <c r="E9" s="89"/>
    </row>
    <row r="11" spans="1:27" x14ac:dyDescent="0.25">
      <c r="B11" s="70" t="s">
        <v>610</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611</v>
      </c>
    </row>
    <row r="17" spans="5:27" x14ac:dyDescent="0.25">
      <c r="E17" s="60" t="s">
        <v>612</v>
      </c>
      <c r="G17" s="89"/>
      <c r="H17" s="3"/>
      <c r="I17" s="3" t="s">
        <v>154</v>
      </c>
      <c r="AA17" t="s">
        <v>613</v>
      </c>
    </row>
    <row r="18" spans="5:27" x14ac:dyDescent="0.25">
      <c r="F18" s="253" t="s">
        <v>189</v>
      </c>
      <c r="G18" s="93" t="s">
        <v>583</v>
      </c>
      <c r="H18" s="112"/>
    </row>
    <row r="19" spans="5:27" x14ac:dyDescent="0.25">
      <c r="F19" s="254" t="s">
        <v>191</v>
      </c>
      <c r="G19" s="89" t="s">
        <v>583</v>
      </c>
      <c r="H19" s="114"/>
    </row>
    <row r="20" spans="5:27" x14ac:dyDescent="0.25">
      <c r="F20" s="254" t="s">
        <v>192</v>
      </c>
      <c r="G20" s="89" t="s">
        <v>583</v>
      </c>
      <c r="H20" s="255">
        <f t="array" ref="H20:H27">TRANSPOSE('Unit costs'!L114:S114)</f>
        <v>0</v>
      </c>
    </row>
    <row r="21" spans="5:27" x14ac:dyDescent="0.25">
      <c r="F21" s="254" t="s">
        <v>193</v>
      </c>
      <c r="G21" s="89" t="s">
        <v>583</v>
      </c>
      <c r="H21" s="255">
        <v>0</v>
      </c>
    </row>
    <row r="22" spans="5:27" x14ac:dyDescent="0.25">
      <c r="F22" s="254" t="s">
        <v>194</v>
      </c>
      <c r="G22" s="89" t="s">
        <v>583</v>
      </c>
      <c r="H22" s="255">
        <v>17.53395778818669</v>
      </c>
    </row>
    <row r="23" spans="5:27" x14ac:dyDescent="0.25">
      <c r="F23" s="254" t="s">
        <v>195</v>
      </c>
      <c r="G23" s="89" t="s">
        <v>583</v>
      </c>
      <c r="H23" s="255">
        <v>4.5377829813989683</v>
      </c>
    </row>
    <row r="24" spans="5:27" x14ac:dyDescent="0.25">
      <c r="F24" s="254" t="s">
        <v>196</v>
      </c>
      <c r="G24" s="89" t="s">
        <v>583</v>
      </c>
      <c r="H24" s="255">
        <v>0</v>
      </c>
    </row>
    <row r="25" spans="5:27" x14ac:dyDescent="0.25">
      <c r="F25" s="254" t="s">
        <v>197</v>
      </c>
      <c r="G25" s="89" t="s">
        <v>583</v>
      </c>
      <c r="H25" s="255">
        <v>19.752923245598893</v>
      </c>
    </row>
    <row r="26" spans="5:27" x14ac:dyDescent="0.25">
      <c r="F26" s="254" t="s">
        <v>198</v>
      </c>
      <c r="G26" s="89" t="s">
        <v>583</v>
      </c>
      <c r="H26" s="255">
        <v>5.0564932260510931</v>
      </c>
    </row>
    <row r="27" spans="5:27" x14ac:dyDescent="0.25">
      <c r="F27" s="256" t="s">
        <v>199</v>
      </c>
      <c r="G27" s="96" t="s">
        <v>583</v>
      </c>
      <c r="H27" s="257">
        <v>9.0347186326508098</v>
      </c>
    </row>
    <row r="28" spans="5:27" x14ac:dyDescent="0.25">
      <c r="F28" s="254"/>
      <c r="G28" s="89"/>
      <c r="H28" s="163"/>
    </row>
    <row r="29" spans="5:27" x14ac:dyDescent="0.25">
      <c r="E29" s="60" t="s">
        <v>614</v>
      </c>
      <c r="G29" s="89"/>
      <c r="H29" s="101"/>
    </row>
    <row r="30" spans="5:27" x14ac:dyDescent="0.25">
      <c r="F30" s="253" t="s">
        <v>189</v>
      </c>
      <c r="G30" s="93" t="s">
        <v>602</v>
      </c>
      <c r="H30" s="258">
        <f t="array" ref="H30:H39">TRANSPOSE('Unit costs'!J115:S115)</f>
        <v>10.645221567407956</v>
      </c>
    </row>
    <row r="31" spans="5:27" x14ac:dyDescent="0.25">
      <c r="F31" s="254" t="s">
        <v>191</v>
      </c>
      <c r="G31" s="89" t="s">
        <v>602</v>
      </c>
      <c r="H31" s="255">
        <v>0</v>
      </c>
    </row>
    <row r="32" spans="5:27" x14ac:dyDescent="0.25">
      <c r="F32" s="254" t="s">
        <v>192</v>
      </c>
      <c r="G32" s="89" t="s">
        <v>602</v>
      </c>
      <c r="H32" s="255">
        <v>0</v>
      </c>
    </row>
    <row r="33" spans="5:16" x14ac:dyDescent="0.25">
      <c r="F33" s="254" t="s">
        <v>193</v>
      </c>
      <c r="G33" s="89" t="s">
        <v>602</v>
      </c>
      <c r="H33" s="255">
        <v>0</v>
      </c>
      <c r="J33" s="92"/>
      <c r="K33" s="92"/>
      <c r="L33" s="92"/>
      <c r="M33" s="92"/>
      <c r="N33" s="92"/>
    </row>
    <row r="34" spans="5:16" x14ac:dyDescent="0.25">
      <c r="F34" s="254" t="s">
        <v>194</v>
      </c>
      <c r="G34" s="89" t="s">
        <v>602</v>
      </c>
      <c r="H34" s="255">
        <v>13.141635837943351</v>
      </c>
      <c r="J34" s="92"/>
      <c r="K34" s="92"/>
      <c r="L34" s="92"/>
      <c r="M34" s="92"/>
      <c r="N34" s="92"/>
    </row>
    <row r="35" spans="5:16" x14ac:dyDescent="0.25">
      <c r="F35" s="254" t="s">
        <v>195</v>
      </c>
      <c r="G35" s="89" t="s">
        <v>602</v>
      </c>
      <c r="H35" s="255">
        <v>3.4010513868888048</v>
      </c>
      <c r="J35" s="92"/>
      <c r="K35" s="92"/>
      <c r="L35" s="92"/>
      <c r="M35" s="92"/>
      <c r="N35" s="92"/>
    </row>
    <row r="36" spans="5:16" x14ac:dyDescent="0.25">
      <c r="F36" s="254" t="s">
        <v>196</v>
      </c>
      <c r="G36" s="89" t="s">
        <v>602</v>
      </c>
      <c r="H36" s="255">
        <v>0</v>
      </c>
      <c r="J36" s="92"/>
      <c r="K36" s="92"/>
      <c r="L36" s="92"/>
      <c r="M36" s="92"/>
      <c r="N36" s="92"/>
    </row>
    <row r="37" spans="5:16" x14ac:dyDescent="0.25">
      <c r="F37" s="254" t="s">
        <v>197</v>
      </c>
      <c r="G37" s="89" t="s">
        <v>602</v>
      </c>
      <c r="H37" s="255">
        <v>14.804742156012244</v>
      </c>
      <c r="J37" s="92"/>
      <c r="K37" s="92"/>
      <c r="L37" s="92"/>
      <c r="M37" s="92"/>
      <c r="N37" s="92"/>
      <c r="O37" s="92"/>
    </row>
    <row r="38" spans="5:16" x14ac:dyDescent="0.25">
      <c r="F38" s="254" t="s">
        <v>198</v>
      </c>
      <c r="G38" s="89" t="s">
        <v>602</v>
      </c>
      <c r="H38" s="255">
        <v>3.7898227768382782</v>
      </c>
      <c r="J38" s="92"/>
      <c r="K38" s="92"/>
      <c r="L38" s="92"/>
      <c r="M38" s="92"/>
      <c r="N38" s="92"/>
      <c r="O38" s="92"/>
    </row>
    <row r="39" spans="5:16" x14ac:dyDescent="0.25">
      <c r="F39" s="256" t="s">
        <v>199</v>
      </c>
      <c r="G39" s="96" t="s">
        <v>602</v>
      </c>
      <c r="H39" s="257">
        <v>6.7714878524785842</v>
      </c>
      <c r="J39" s="92"/>
      <c r="K39" s="92"/>
      <c r="L39" s="92"/>
      <c r="M39" s="92"/>
      <c r="N39" s="92"/>
      <c r="O39" s="92"/>
    </row>
    <row r="40" spans="5:16" x14ac:dyDescent="0.25">
      <c r="G40" s="89"/>
      <c r="H40" s="101"/>
      <c r="J40" s="92"/>
      <c r="K40" s="92"/>
      <c r="L40" s="92"/>
      <c r="M40" s="92"/>
      <c r="N40" s="92"/>
      <c r="O40" s="92"/>
    </row>
    <row r="41" spans="5:16" x14ac:dyDescent="0.25">
      <c r="E41" s="60" t="s">
        <v>615</v>
      </c>
      <c r="F41" s="60"/>
      <c r="H41" s="170"/>
      <c r="I41" s="3"/>
      <c r="J41" s="92"/>
      <c r="K41" s="92"/>
      <c r="L41" s="92"/>
      <c r="M41" s="92"/>
      <c r="N41" s="92"/>
      <c r="O41" s="92"/>
      <c r="P41" s="3"/>
    </row>
    <row r="42" spans="5:16" x14ac:dyDescent="0.25">
      <c r="E42" s="71" t="s">
        <v>616</v>
      </c>
      <c r="F42" s="71"/>
      <c r="H42" s="170"/>
      <c r="I42" s="3"/>
      <c r="J42" s="92"/>
      <c r="K42" s="92"/>
      <c r="L42" s="92"/>
      <c r="M42" s="92"/>
      <c r="N42" s="92"/>
      <c r="O42" s="92"/>
      <c r="P42" s="3"/>
    </row>
    <row r="43" spans="5:16" x14ac:dyDescent="0.25">
      <c r="F43" s="90" t="s">
        <v>189</v>
      </c>
      <c r="G43" s="90" t="s">
        <v>283</v>
      </c>
      <c r="H43" s="167">
        <f t="array" ref="H43:H52">TRANSPOSE('Load &amp; loss characteristics'!J29:S29)</f>
        <v>1</v>
      </c>
      <c r="I43" s="3"/>
      <c r="J43" s="92"/>
      <c r="K43" s="92"/>
      <c r="L43" s="92"/>
      <c r="M43" s="92"/>
      <c r="N43" s="92"/>
      <c r="O43" s="92"/>
    </row>
    <row r="44" spans="5:16" x14ac:dyDescent="0.25">
      <c r="F44" t="s">
        <v>191</v>
      </c>
      <c r="G44" t="s">
        <v>283</v>
      </c>
      <c r="H44" s="163">
        <v>1</v>
      </c>
      <c r="I44" s="3"/>
      <c r="J44" s="92"/>
      <c r="K44" s="92"/>
      <c r="L44" s="92"/>
      <c r="M44" s="92"/>
      <c r="N44" s="92"/>
      <c r="O44" s="92"/>
    </row>
    <row r="45" spans="5:16" x14ac:dyDescent="0.25">
      <c r="F45" t="s">
        <v>192</v>
      </c>
      <c r="G45" t="s">
        <v>283</v>
      </c>
      <c r="H45" s="163">
        <v>1</v>
      </c>
      <c r="I45" s="3"/>
      <c r="J45" s="92"/>
      <c r="K45" s="92"/>
      <c r="L45" s="92"/>
      <c r="M45" s="92"/>
      <c r="N45" s="92"/>
      <c r="O45" s="92"/>
    </row>
    <row r="46" spans="5:16" x14ac:dyDescent="0.25">
      <c r="F46" t="s">
        <v>193</v>
      </c>
      <c r="G46" t="s">
        <v>283</v>
      </c>
      <c r="H46" s="163">
        <v>1</v>
      </c>
      <c r="J46" s="92"/>
      <c r="K46" s="92"/>
      <c r="L46" s="92"/>
      <c r="M46" s="92"/>
      <c r="N46" s="92"/>
      <c r="O46" s="92"/>
    </row>
    <row r="47" spans="5:16" x14ac:dyDescent="0.25">
      <c r="F47" t="s">
        <v>194</v>
      </c>
      <c r="G47" t="s">
        <v>283</v>
      </c>
      <c r="H47" s="163">
        <v>1.0029999999999999</v>
      </c>
      <c r="I47" s="3"/>
      <c r="J47" s="92"/>
      <c r="K47" s="92"/>
      <c r="L47" s="92"/>
      <c r="M47" s="92"/>
      <c r="N47" s="92"/>
      <c r="O47" s="92"/>
    </row>
    <row r="48" spans="5:16" x14ac:dyDescent="0.25">
      <c r="F48" t="s">
        <v>195</v>
      </c>
      <c r="G48" t="s">
        <v>283</v>
      </c>
      <c r="H48" s="163">
        <v>1.0129999999999999</v>
      </c>
      <c r="I48" s="3"/>
      <c r="J48" s="92"/>
      <c r="K48" s="92"/>
      <c r="L48" s="92"/>
      <c r="M48" s="92"/>
      <c r="N48" s="92"/>
      <c r="O48" s="92"/>
    </row>
    <row r="49" spans="4:25" x14ac:dyDescent="0.25">
      <c r="F49" t="s">
        <v>196</v>
      </c>
      <c r="G49" t="s">
        <v>283</v>
      </c>
      <c r="H49" s="163">
        <v>1.0129999999999999</v>
      </c>
      <c r="I49" s="3"/>
      <c r="J49" s="92"/>
      <c r="K49" s="92"/>
      <c r="L49" s="92"/>
      <c r="M49" s="92"/>
      <c r="N49" s="92"/>
      <c r="O49" s="92"/>
    </row>
    <row r="50" spans="4:25" x14ac:dyDescent="0.25">
      <c r="F50" t="s">
        <v>197</v>
      </c>
      <c r="G50" t="s">
        <v>283</v>
      </c>
      <c r="H50" s="163">
        <v>1.0249999999999999</v>
      </c>
      <c r="J50" s="92"/>
      <c r="K50" s="92"/>
      <c r="L50" s="92"/>
      <c r="M50" s="92"/>
      <c r="N50" s="92"/>
      <c r="O50" s="92"/>
    </row>
    <row r="51" spans="4:25" x14ac:dyDescent="0.25">
      <c r="F51" t="s">
        <v>198</v>
      </c>
      <c r="G51" t="s">
        <v>283</v>
      </c>
      <c r="H51" s="163">
        <v>1.044</v>
      </c>
      <c r="I51" s="3"/>
      <c r="J51" s="92"/>
      <c r="K51" s="92"/>
      <c r="L51" s="92"/>
      <c r="M51" s="92"/>
      <c r="N51" s="92"/>
      <c r="O51" s="92"/>
    </row>
    <row r="52" spans="4:25" x14ac:dyDescent="0.25">
      <c r="F52" s="91" t="s">
        <v>199</v>
      </c>
      <c r="G52" s="91" t="s">
        <v>283</v>
      </c>
      <c r="H52" s="168">
        <v>1.109</v>
      </c>
      <c r="I52" s="3"/>
      <c r="J52" s="92"/>
      <c r="K52" s="92"/>
      <c r="L52" s="92"/>
      <c r="M52" s="92"/>
      <c r="N52" s="92"/>
      <c r="O52" s="92"/>
    </row>
    <row r="53" spans="4:25" x14ac:dyDescent="0.25">
      <c r="G53" s="89"/>
      <c r="H53" s="3"/>
      <c r="I53" s="3"/>
      <c r="J53" s="92"/>
      <c r="K53" s="92"/>
      <c r="L53" s="92"/>
      <c r="M53" s="92"/>
      <c r="N53" s="92"/>
      <c r="O53" s="92"/>
    </row>
    <row r="54" spans="4:25" x14ac:dyDescent="0.25">
      <c r="E54" s="60" t="s">
        <v>407</v>
      </c>
      <c r="F54" s="60"/>
      <c r="J54" s="92"/>
      <c r="L54" s="92"/>
    </row>
    <row r="55" spans="4:25" x14ac:dyDescent="0.25">
      <c r="D55" s="60"/>
      <c r="E55" s="60"/>
      <c r="F55" s="253" t="s">
        <v>189</v>
      </c>
      <c r="G55" s="90" t="s">
        <v>283</v>
      </c>
      <c r="H55" s="90"/>
      <c r="I55" s="90"/>
      <c r="J55" s="258">
        <f t="array" ref="J55:Y64">TRANSPOSE('Load &amp; loss characteristics'!J145:S160)</f>
        <v>1.109</v>
      </c>
      <c r="K55" s="258">
        <v>1.109</v>
      </c>
      <c r="L55" s="258">
        <v>1.109</v>
      </c>
      <c r="M55" s="258">
        <v>1.109</v>
      </c>
      <c r="N55" s="258">
        <v>1.109</v>
      </c>
      <c r="O55" s="258">
        <v>1.044</v>
      </c>
      <c r="P55" s="258">
        <v>1.0249999999999999</v>
      </c>
      <c r="Q55" s="258">
        <v>1.109</v>
      </c>
      <c r="R55" s="258">
        <v>-1.109</v>
      </c>
      <c r="S55" s="258">
        <v>-1.044</v>
      </c>
      <c r="T55" s="258">
        <v>-1.109</v>
      </c>
      <c r="U55" s="258">
        <v>-1.109</v>
      </c>
      <c r="V55" s="258">
        <v>-1.044</v>
      </c>
      <c r="W55" s="258">
        <v>-1.044</v>
      </c>
      <c r="X55" s="258">
        <v>-1.0249999999999999</v>
      </c>
      <c r="Y55" s="258">
        <v>-1.0249999999999999</v>
      </c>
    </row>
    <row r="56" spans="4:25" x14ac:dyDescent="0.25">
      <c r="D56" s="60"/>
      <c r="E56" s="60"/>
      <c r="F56" s="254" t="s">
        <v>191</v>
      </c>
      <c r="G56" t="s">
        <v>283</v>
      </c>
      <c r="J56" s="255">
        <v>1.109</v>
      </c>
      <c r="K56" s="255">
        <v>1.109</v>
      </c>
      <c r="L56" s="255">
        <v>1.109</v>
      </c>
      <c r="M56" s="255">
        <v>1.109</v>
      </c>
      <c r="N56" s="255">
        <v>1.109</v>
      </c>
      <c r="O56" s="255">
        <v>1.044</v>
      </c>
      <c r="P56" s="255">
        <v>1.0249999999999999</v>
      </c>
      <c r="Q56" s="255">
        <v>1.109</v>
      </c>
      <c r="R56" s="255">
        <v>-1.109</v>
      </c>
      <c r="S56" s="255">
        <v>-1.044</v>
      </c>
      <c r="T56" s="255">
        <v>-1.109</v>
      </c>
      <c r="U56" s="255">
        <v>-1.109</v>
      </c>
      <c r="V56" s="255">
        <v>-1.044</v>
      </c>
      <c r="W56" s="255">
        <v>-1.044</v>
      </c>
      <c r="X56" s="255">
        <v>-1.0249999999999999</v>
      </c>
      <c r="Y56" s="255">
        <v>-1.0249999999999999</v>
      </c>
    </row>
    <row r="57" spans="4:25" x14ac:dyDescent="0.25">
      <c r="D57" s="60"/>
      <c r="E57" s="60"/>
      <c r="F57" s="254" t="s">
        <v>192</v>
      </c>
      <c r="G57" t="s">
        <v>283</v>
      </c>
      <c r="J57" s="255">
        <v>1.109</v>
      </c>
      <c r="K57" s="255">
        <v>1.109</v>
      </c>
      <c r="L57" s="255">
        <v>1.109</v>
      </c>
      <c r="M57" s="255">
        <v>1.109</v>
      </c>
      <c r="N57" s="255">
        <v>1.109</v>
      </c>
      <c r="O57" s="255">
        <v>1.044</v>
      </c>
      <c r="P57" s="255">
        <v>1.0249999999999999</v>
      </c>
      <c r="Q57" s="255">
        <v>1.109</v>
      </c>
      <c r="R57" s="255">
        <v>-1.109</v>
      </c>
      <c r="S57" s="255">
        <v>-1.044</v>
      </c>
      <c r="T57" s="255">
        <v>-1.109</v>
      </c>
      <c r="U57" s="255">
        <v>-1.109</v>
      </c>
      <c r="V57" s="255">
        <v>-1.044</v>
      </c>
      <c r="W57" s="255">
        <v>-1.044</v>
      </c>
      <c r="X57" s="255">
        <v>-1.0249999999999999</v>
      </c>
      <c r="Y57" s="255">
        <v>-1.0249999999999999</v>
      </c>
    </row>
    <row r="58" spans="4:25" x14ac:dyDescent="0.25">
      <c r="D58" s="60"/>
      <c r="E58" s="60"/>
      <c r="F58" s="254" t="s">
        <v>193</v>
      </c>
      <c r="G58" t="s">
        <v>283</v>
      </c>
      <c r="J58" s="255">
        <v>1.109</v>
      </c>
      <c r="K58" s="255">
        <v>1.109</v>
      </c>
      <c r="L58" s="255">
        <v>1.109</v>
      </c>
      <c r="M58" s="255">
        <v>1.109</v>
      </c>
      <c r="N58" s="255">
        <v>1.109</v>
      </c>
      <c r="O58" s="255">
        <v>1.044</v>
      </c>
      <c r="P58" s="255">
        <v>1.0249999999999999</v>
      </c>
      <c r="Q58" s="255">
        <v>1.109</v>
      </c>
      <c r="R58" s="255">
        <v>-1.109</v>
      </c>
      <c r="S58" s="255">
        <v>-1.044</v>
      </c>
      <c r="T58" s="255">
        <v>-1.109</v>
      </c>
      <c r="U58" s="255">
        <v>-1.109</v>
      </c>
      <c r="V58" s="255">
        <v>-1.044</v>
      </c>
      <c r="W58" s="255">
        <v>-1.044</v>
      </c>
      <c r="X58" s="255">
        <v>-1.0249999999999999</v>
      </c>
      <c r="Y58" s="255">
        <v>-1.0249999999999999</v>
      </c>
    </row>
    <row r="59" spans="4:25" x14ac:dyDescent="0.25">
      <c r="D59" s="60"/>
      <c r="E59" s="60"/>
      <c r="F59" s="254" t="s">
        <v>194</v>
      </c>
      <c r="G59" t="s">
        <v>283</v>
      </c>
      <c r="J59" s="255">
        <v>1.109</v>
      </c>
      <c r="K59" s="255">
        <v>1.109</v>
      </c>
      <c r="L59" s="255">
        <v>1.109</v>
      </c>
      <c r="M59" s="255">
        <v>1.109</v>
      </c>
      <c r="N59" s="255">
        <v>1.109</v>
      </c>
      <c r="O59" s="255">
        <v>1.044</v>
      </c>
      <c r="P59" s="255">
        <v>1.0249999999999999</v>
      </c>
      <c r="Q59" s="255">
        <v>1.109</v>
      </c>
      <c r="R59" s="255">
        <v>-1.109</v>
      </c>
      <c r="S59" s="255">
        <v>-1.044</v>
      </c>
      <c r="T59" s="255">
        <v>-1.109</v>
      </c>
      <c r="U59" s="255">
        <v>-1.109</v>
      </c>
      <c r="V59" s="255">
        <v>-1.044</v>
      </c>
      <c r="W59" s="255">
        <v>-1.044</v>
      </c>
      <c r="X59" s="255">
        <v>-1.0249999999999999</v>
      </c>
      <c r="Y59" s="255">
        <v>-1.0249999999999999</v>
      </c>
    </row>
    <row r="60" spans="4:25" x14ac:dyDescent="0.25">
      <c r="D60" s="60"/>
      <c r="E60" s="60"/>
      <c r="F60" s="254" t="s">
        <v>195</v>
      </c>
      <c r="G60" t="s">
        <v>283</v>
      </c>
      <c r="J60" s="255">
        <v>1.109</v>
      </c>
      <c r="K60" s="255">
        <v>1.109</v>
      </c>
      <c r="L60" s="255">
        <v>1.109</v>
      </c>
      <c r="M60" s="255">
        <v>1.109</v>
      </c>
      <c r="N60" s="255">
        <v>1.109</v>
      </c>
      <c r="O60" s="255">
        <v>1.044</v>
      </c>
      <c r="P60" s="255">
        <v>1.0249999999999999</v>
      </c>
      <c r="Q60" s="255">
        <v>1.109</v>
      </c>
      <c r="R60" s="255">
        <v>-1.109</v>
      </c>
      <c r="S60" s="255">
        <v>-1.044</v>
      </c>
      <c r="T60" s="255">
        <v>-1.109</v>
      </c>
      <c r="U60" s="255">
        <v>-1.109</v>
      </c>
      <c r="V60" s="255">
        <v>-1.044</v>
      </c>
      <c r="W60" s="255">
        <v>-1.044</v>
      </c>
      <c r="X60" s="255">
        <v>-1.0249999999999999</v>
      </c>
      <c r="Y60" s="255">
        <v>-1.0249999999999999</v>
      </c>
    </row>
    <row r="61" spans="4:25" x14ac:dyDescent="0.25">
      <c r="D61" s="60"/>
      <c r="E61" s="60"/>
      <c r="F61" s="254" t="s">
        <v>196</v>
      </c>
      <c r="G61" t="s">
        <v>283</v>
      </c>
      <c r="J61" s="255">
        <v>0</v>
      </c>
      <c r="K61" s="255">
        <v>0</v>
      </c>
      <c r="L61" s="255">
        <v>0</v>
      </c>
      <c r="M61" s="255">
        <v>0</v>
      </c>
      <c r="N61" s="255">
        <v>0</v>
      </c>
      <c r="O61" s="255">
        <v>0</v>
      </c>
      <c r="P61" s="255">
        <v>0</v>
      </c>
      <c r="Q61" s="255">
        <v>0</v>
      </c>
      <c r="R61" s="255">
        <v>0</v>
      </c>
      <c r="S61" s="255">
        <v>0</v>
      </c>
      <c r="T61" s="255">
        <v>0</v>
      </c>
      <c r="U61" s="255">
        <v>0</v>
      </c>
      <c r="V61" s="255">
        <v>0</v>
      </c>
      <c r="W61" s="255">
        <v>0</v>
      </c>
      <c r="X61" s="255">
        <v>0</v>
      </c>
      <c r="Y61" s="255">
        <v>0</v>
      </c>
    </row>
    <row r="62" spans="4:25" x14ac:dyDescent="0.25">
      <c r="D62" s="60"/>
      <c r="E62" s="60"/>
      <c r="F62" s="254" t="s">
        <v>197</v>
      </c>
      <c r="G62" t="s">
        <v>283</v>
      </c>
      <c r="J62" s="255">
        <v>1.109</v>
      </c>
      <c r="K62" s="255">
        <v>1.109</v>
      </c>
      <c r="L62" s="255">
        <v>1.109</v>
      </c>
      <c r="M62" s="255">
        <v>1.109</v>
      </c>
      <c r="N62" s="255">
        <v>1.109</v>
      </c>
      <c r="O62" s="255">
        <v>1.044</v>
      </c>
      <c r="P62" s="255">
        <v>1.0249999999999999</v>
      </c>
      <c r="Q62" s="255">
        <v>1.109</v>
      </c>
      <c r="R62" s="255">
        <v>-1.109</v>
      </c>
      <c r="S62" s="255">
        <v>-1.044</v>
      </c>
      <c r="T62" s="255">
        <v>-1.109</v>
      </c>
      <c r="U62" s="255">
        <v>-1.109</v>
      </c>
      <c r="V62" s="255">
        <v>-1.044</v>
      </c>
      <c r="W62" s="255">
        <v>-1.044</v>
      </c>
      <c r="X62" s="255">
        <v>0</v>
      </c>
      <c r="Y62" s="255">
        <v>0</v>
      </c>
    </row>
    <row r="63" spans="4:25" x14ac:dyDescent="0.25">
      <c r="D63" s="60"/>
      <c r="E63" s="60"/>
      <c r="F63" s="254" t="s">
        <v>198</v>
      </c>
      <c r="G63" t="s">
        <v>283</v>
      </c>
      <c r="J63" s="255">
        <v>1.109</v>
      </c>
      <c r="K63" s="255">
        <v>1.109</v>
      </c>
      <c r="L63" s="255">
        <v>1.109</v>
      </c>
      <c r="M63" s="255">
        <v>1.109</v>
      </c>
      <c r="N63" s="255">
        <v>1.109</v>
      </c>
      <c r="O63" s="255">
        <v>1.044</v>
      </c>
      <c r="P63" s="255">
        <v>0</v>
      </c>
      <c r="Q63" s="255">
        <v>1.109</v>
      </c>
      <c r="R63" s="255">
        <v>-1.109</v>
      </c>
      <c r="S63" s="255">
        <v>0</v>
      </c>
      <c r="T63" s="255">
        <v>-1.109</v>
      </c>
      <c r="U63" s="255">
        <v>-1.109</v>
      </c>
      <c r="V63" s="255">
        <v>0</v>
      </c>
      <c r="W63" s="255">
        <v>0</v>
      </c>
      <c r="X63" s="255">
        <v>0</v>
      </c>
      <c r="Y63" s="255">
        <v>0</v>
      </c>
    </row>
    <row r="64" spans="4:25" x14ac:dyDescent="0.25">
      <c r="D64" s="60"/>
      <c r="E64" s="60"/>
      <c r="F64" s="256" t="s">
        <v>199</v>
      </c>
      <c r="G64" s="91" t="s">
        <v>283</v>
      </c>
      <c r="H64" s="91"/>
      <c r="I64" s="91"/>
      <c r="J64" s="257">
        <v>1.109</v>
      </c>
      <c r="K64" s="257">
        <v>1.109</v>
      </c>
      <c r="L64" s="257">
        <v>1.109</v>
      </c>
      <c r="M64" s="257">
        <v>1.109</v>
      </c>
      <c r="N64" s="257">
        <v>1.109</v>
      </c>
      <c r="O64" s="257">
        <v>0</v>
      </c>
      <c r="P64" s="257">
        <v>0</v>
      </c>
      <c r="Q64" s="257">
        <v>1.109</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414</v>
      </c>
      <c r="J66" s="259"/>
      <c r="K66" s="259"/>
      <c r="L66" s="259"/>
      <c r="M66" s="259"/>
      <c r="N66" s="259"/>
      <c r="O66" s="259"/>
      <c r="P66" s="259"/>
      <c r="Q66" s="259"/>
      <c r="R66" s="259"/>
      <c r="S66" s="259"/>
      <c r="T66" s="259"/>
      <c r="U66" s="259"/>
      <c r="V66" s="259"/>
      <c r="W66" s="259"/>
      <c r="X66" s="259"/>
      <c r="Y66" s="259"/>
    </row>
    <row r="67" spans="3:25" x14ac:dyDescent="0.25">
      <c r="D67" s="60"/>
      <c r="E67" s="60"/>
      <c r="F67" s="253" t="s">
        <v>189</v>
      </c>
      <c r="G67" s="93" t="s">
        <v>167</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191</v>
      </c>
      <c r="G68" s="89" t="s">
        <v>167</v>
      </c>
      <c r="J68" s="261"/>
      <c r="K68" s="261"/>
      <c r="L68" s="261"/>
      <c r="M68" s="261"/>
      <c r="N68" s="261"/>
      <c r="O68" s="261"/>
      <c r="P68" s="261"/>
      <c r="Q68" s="261"/>
      <c r="R68" s="261"/>
      <c r="S68" s="261"/>
      <c r="T68" s="261"/>
      <c r="U68" s="261"/>
      <c r="V68" s="261"/>
      <c r="W68" s="261"/>
      <c r="X68" s="261"/>
      <c r="Y68" s="261"/>
    </row>
    <row r="69" spans="3:25" x14ac:dyDescent="0.25">
      <c r="D69" s="60"/>
      <c r="E69" s="60"/>
      <c r="F69" s="254" t="s">
        <v>192</v>
      </c>
      <c r="G69" s="89" t="s">
        <v>167</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193</v>
      </c>
      <c r="G70" s="89" t="s">
        <v>167</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194</v>
      </c>
      <c r="G71" s="89" t="s">
        <v>167</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195</v>
      </c>
      <c r="G72" s="89" t="s">
        <v>167</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196</v>
      </c>
      <c r="G73" s="89" t="s">
        <v>167</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197</v>
      </c>
      <c r="G74" s="89" t="s">
        <v>167</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198</v>
      </c>
      <c r="G75" s="89" t="s">
        <v>167</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199</v>
      </c>
      <c r="G76" s="96" t="s">
        <v>167</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470</v>
      </c>
      <c r="F78" s="89"/>
      <c r="G78" s="89" t="s">
        <v>283</v>
      </c>
      <c r="J78" s="255">
        <f>'Pseudo-load coefficients'!J267</f>
        <v>1.8809470080667747</v>
      </c>
      <c r="K78" s="255">
        <f>'Pseudo-load coefficients'!K267</f>
        <v>1.8809470080667747</v>
      </c>
      <c r="L78" s="255">
        <f>'Pseudo-load coefficients'!L267</f>
        <v>1.6313075232248377</v>
      </c>
      <c r="M78" s="255">
        <f>'Pseudo-load coefficients'!M267</f>
        <v>1.6313075232248377</v>
      </c>
      <c r="N78" s="255">
        <f>'Pseudo-load coefficients'!N267</f>
        <v>1.5113846153846155</v>
      </c>
      <c r="O78" s="255">
        <f>'Pseudo-load coefficients'!O267</f>
        <v>1.2434825381210035</v>
      </c>
      <c r="P78" s="255">
        <f>'Pseudo-load coefficients'!P267</f>
        <v>1.1759927797833936</v>
      </c>
      <c r="Q78" s="255">
        <f>'Pseudo-load coefficients'!Q267</f>
        <v>1.8587030716723549</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505</v>
      </c>
      <c r="J80" s="259"/>
      <c r="K80" s="259"/>
      <c r="L80" s="259"/>
      <c r="M80" s="259"/>
      <c r="N80" s="259"/>
      <c r="O80" s="259"/>
      <c r="P80" s="259"/>
      <c r="Q80" s="259"/>
      <c r="R80" s="259"/>
      <c r="S80" s="259"/>
      <c r="T80" s="259"/>
      <c r="U80" s="259"/>
      <c r="V80" s="259"/>
      <c r="W80" s="259"/>
      <c r="X80" s="259"/>
      <c r="Y80" s="259"/>
    </row>
    <row r="81" spans="5:25" x14ac:dyDescent="0.25">
      <c r="E81" s="60"/>
      <c r="F81" s="253" t="s">
        <v>189</v>
      </c>
      <c r="G81" s="93" t="s">
        <v>283</v>
      </c>
      <c r="H81" s="90"/>
      <c r="I81" s="90"/>
      <c r="J81" s="262">
        <f>'Pseudo-load coefficients'!J272</f>
        <v>11.415202824166641</v>
      </c>
      <c r="K81" s="262">
        <f>'Pseudo-load coefficients'!K272</f>
        <v>11.415202824166641</v>
      </c>
      <c r="L81" s="262">
        <f>'Pseudo-load coefficients'!L272</f>
        <v>13.111499681159897</v>
      </c>
      <c r="M81" s="262">
        <f>'Pseudo-load coefficients'!M272</f>
        <v>13.111499681159897</v>
      </c>
      <c r="N81" s="262">
        <f>'Pseudo-load coefficients'!N272</f>
        <v>11.478969928619271</v>
      </c>
      <c r="O81" s="262">
        <f>'Pseudo-load coefficients'!O272</f>
        <v>9.7207575593738476</v>
      </c>
      <c r="P81" s="262">
        <f>'Pseudo-load coefficients'!P272</f>
        <v>9.5766751256420406</v>
      </c>
      <c r="Q81" s="262">
        <f>'Pseudo-load coefficients'!Q272</f>
        <v>26.282331373304242</v>
      </c>
      <c r="R81" s="262">
        <f>'Pseudo-load coefficients'!R272</f>
        <v>8.4293039407328347</v>
      </c>
      <c r="S81" s="262">
        <f>'Pseudo-load coefficients'!S272</f>
        <v>8.4293039407328347</v>
      </c>
      <c r="T81" s="262">
        <f>'Pseudo-load coefficients'!T272</f>
        <v>8.4293039407328347</v>
      </c>
      <c r="U81" s="262">
        <f>'Pseudo-load coefficients'!U272</f>
        <v>8.4293039407328347</v>
      </c>
      <c r="V81" s="262">
        <f>'Pseudo-load coefficients'!V272</f>
        <v>8.4293039407328347</v>
      </c>
      <c r="W81" s="262">
        <f>'Pseudo-load coefficients'!W272</f>
        <v>8.4293039407328347</v>
      </c>
      <c r="X81" s="262">
        <f>'Pseudo-load coefficients'!X272</f>
        <v>8.4293039407328347</v>
      </c>
      <c r="Y81" s="262">
        <f>'Pseudo-load coefficients'!Y272</f>
        <v>8.4293039407328347</v>
      </c>
    </row>
    <row r="82" spans="5:25" x14ac:dyDescent="0.25">
      <c r="E82" s="60"/>
      <c r="F82" s="254" t="s">
        <v>191</v>
      </c>
      <c r="G82" s="89" t="s">
        <v>283</v>
      </c>
      <c r="J82" s="255">
        <f>'Pseudo-load coefficients'!J272</f>
        <v>11.415202824166641</v>
      </c>
      <c r="K82" s="255">
        <f>'Pseudo-load coefficients'!K272</f>
        <v>11.415202824166641</v>
      </c>
      <c r="L82" s="255">
        <f>'Pseudo-load coefficients'!L272</f>
        <v>13.111499681159897</v>
      </c>
      <c r="M82" s="255">
        <f>'Pseudo-load coefficients'!M272</f>
        <v>13.111499681159897</v>
      </c>
      <c r="N82" s="255">
        <f>'Pseudo-load coefficients'!N272</f>
        <v>11.478969928619271</v>
      </c>
      <c r="O82" s="255">
        <f>'Pseudo-load coefficients'!O272</f>
        <v>9.7207575593738476</v>
      </c>
      <c r="P82" s="255">
        <f>'Pseudo-load coefficients'!P272</f>
        <v>9.5766751256420406</v>
      </c>
      <c r="Q82" s="255">
        <f>'Pseudo-load coefficients'!Q272</f>
        <v>26.282331373304242</v>
      </c>
      <c r="R82" s="255">
        <f>'Pseudo-load coefficients'!R272</f>
        <v>8.4293039407328347</v>
      </c>
      <c r="S82" s="255">
        <f>'Pseudo-load coefficients'!S272</f>
        <v>8.4293039407328347</v>
      </c>
      <c r="T82" s="255">
        <f>'Pseudo-load coefficients'!T272</f>
        <v>8.4293039407328347</v>
      </c>
      <c r="U82" s="255">
        <f>'Pseudo-load coefficients'!U272</f>
        <v>8.4293039407328347</v>
      </c>
      <c r="V82" s="255">
        <f>'Pseudo-load coefficients'!V272</f>
        <v>8.4293039407328347</v>
      </c>
      <c r="W82" s="255">
        <f>'Pseudo-load coefficients'!W272</f>
        <v>8.4293039407328347</v>
      </c>
      <c r="X82" s="255">
        <f>'Pseudo-load coefficients'!X272</f>
        <v>8.4293039407328347</v>
      </c>
      <c r="Y82" s="255">
        <f>'Pseudo-load coefficients'!Y272</f>
        <v>8.4293039407328347</v>
      </c>
    </row>
    <row r="83" spans="5:25" x14ac:dyDescent="0.25">
      <c r="E83" s="60"/>
      <c r="F83" s="254" t="s">
        <v>192</v>
      </c>
      <c r="G83" s="89" t="s">
        <v>283</v>
      </c>
      <c r="J83" s="255">
        <f>'Pseudo-load coefficients'!J273</f>
        <v>0</v>
      </c>
      <c r="K83" s="255">
        <f>'Pseudo-load coefficients'!K273</f>
        <v>0</v>
      </c>
      <c r="L83" s="255">
        <f>'Pseudo-load coefficients'!L273</f>
        <v>0</v>
      </c>
      <c r="M83" s="255">
        <f>'Pseudo-load coefficients'!M273</f>
        <v>0</v>
      </c>
      <c r="N83" s="255">
        <f>'Pseudo-load coefficients'!N273</f>
        <v>0</v>
      </c>
      <c r="O83" s="255">
        <f>'Pseudo-load coefficients'!O273</f>
        <v>0</v>
      </c>
      <c r="P83" s="255">
        <f>'Pseudo-load coefficients'!P273</f>
        <v>0</v>
      </c>
      <c r="Q83" s="255">
        <f>'Pseudo-load coefficients'!Q273</f>
        <v>0</v>
      </c>
      <c r="R83" s="255">
        <f>'Pseudo-load coefficients'!R273</f>
        <v>0</v>
      </c>
      <c r="S83" s="255">
        <f>'Pseudo-load coefficients'!S273</f>
        <v>0</v>
      </c>
      <c r="T83" s="255">
        <f>'Pseudo-load coefficients'!T273</f>
        <v>0</v>
      </c>
      <c r="U83" s="255">
        <f>'Pseudo-load coefficients'!U273</f>
        <v>0</v>
      </c>
      <c r="V83" s="255">
        <f>'Pseudo-load coefficients'!V273</f>
        <v>0</v>
      </c>
      <c r="W83" s="255">
        <f>'Pseudo-load coefficients'!W273</f>
        <v>0</v>
      </c>
      <c r="X83" s="255">
        <f>'Pseudo-load coefficients'!X273</f>
        <v>0</v>
      </c>
      <c r="Y83" s="255">
        <f>'Pseudo-load coefficients'!Y273</f>
        <v>0</v>
      </c>
    </row>
    <row r="84" spans="5:25" x14ac:dyDescent="0.25">
      <c r="E84" s="60"/>
      <c r="F84" s="254" t="s">
        <v>193</v>
      </c>
      <c r="G84" s="89" t="s">
        <v>283</v>
      </c>
      <c r="J84" s="255">
        <f>'Pseudo-load coefficients'!J274</f>
        <v>0</v>
      </c>
      <c r="K84" s="255">
        <f>'Pseudo-load coefficients'!K274</f>
        <v>0</v>
      </c>
      <c r="L84" s="255">
        <f>'Pseudo-load coefficients'!L274</f>
        <v>0</v>
      </c>
      <c r="M84" s="255">
        <f>'Pseudo-load coefficients'!M274</f>
        <v>0</v>
      </c>
      <c r="N84" s="255">
        <f>'Pseudo-load coefficients'!N274</f>
        <v>0</v>
      </c>
      <c r="O84" s="255">
        <f>'Pseudo-load coefficients'!O274</f>
        <v>0</v>
      </c>
      <c r="P84" s="255">
        <f>'Pseudo-load coefficients'!P274</f>
        <v>0</v>
      </c>
      <c r="Q84" s="255">
        <f>'Pseudo-load coefficients'!Q274</f>
        <v>0</v>
      </c>
      <c r="R84" s="255">
        <f>'Pseudo-load coefficients'!R274</f>
        <v>0</v>
      </c>
      <c r="S84" s="255">
        <f>'Pseudo-load coefficients'!S274</f>
        <v>0</v>
      </c>
      <c r="T84" s="255">
        <f>'Pseudo-load coefficients'!T274</f>
        <v>0</v>
      </c>
      <c r="U84" s="255">
        <f>'Pseudo-load coefficients'!U274</f>
        <v>0</v>
      </c>
      <c r="V84" s="255">
        <f>'Pseudo-load coefficients'!V274</f>
        <v>0</v>
      </c>
      <c r="W84" s="255">
        <f>'Pseudo-load coefficients'!W274</f>
        <v>0</v>
      </c>
      <c r="X84" s="255">
        <f>'Pseudo-load coefficients'!X274</f>
        <v>0</v>
      </c>
      <c r="Y84" s="255">
        <f>'Pseudo-load coefficients'!Y274</f>
        <v>0</v>
      </c>
    </row>
    <row r="85" spans="5:25" x14ac:dyDescent="0.25">
      <c r="E85" s="60"/>
      <c r="F85" s="254" t="s">
        <v>194</v>
      </c>
      <c r="G85" s="89" t="s">
        <v>283</v>
      </c>
      <c r="J85" s="255">
        <f>'Pseudo-load coefficients'!J275</f>
        <v>11.415202824166641</v>
      </c>
      <c r="K85" s="255">
        <f>'Pseudo-load coefficients'!K275</f>
        <v>11.415202824166641</v>
      </c>
      <c r="L85" s="255">
        <f>'Pseudo-load coefficients'!L275</f>
        <v>13.111499681159897</v>
      </c>
      <c r="M85" s="255">
        <f>'Pseudo-load coefficients'!M275</f>
        <v>13.111499681159897</v>
      </c>
      <c r="N85" s="255">
        <f>'Pseudo-load coefficients'!N275</f>
        <v>11.478969928619271</v>
      </c>
      <c r="O85" s="255">
        <f>'Pseudo-load coefficients'!O275</f>
        <v>9.7207575593738476</v>
      </c>
      <c r="P85" s="255">
        <f>'Pseudo-load coefficients'!P275</f>
        <v>9.5766751256420406</v>
      </c>
      <c r="Q85" s="255">
        <f>'Pseudo-load coefficients'!Q275</f>
        <v>26.282331373304242</v>
      </c>
      <c r="R85" s="255">
        <f>'Pseudo-load coefficients'!R275</f>
        <v>8.4293039407328347</v>
      </c>
      <c r="S85" s="255">
        <f>'Pseudo-load coefficients'!S275</f>
        <v>8.4293039407328347</v>
      </c>
      <c r="T85" s="255">
        <f>'Pseudo-load coefficients'!T275</f>
        <v>8.4293039407328347</v>
      </c>
      <c r="U85" s="255">
        <f>'Pseudo-load coefficients'!U275</f>
        <v>8.4293039407328347</v>
      </c>
      <c r="V85" s="255">
        <f>'Pseudo-load coefficients'!V275</f>
        <v>8.4293039407328347</v>
      </c>
      <c r="W85" s="255">
        <f>'Pseudo-load coefficients'!W275</f>
        <v>8.4293039407328347</v>
      </c>
      <c r="X85" s="255">
        <f>'Pseudo-load coefficients'!X275</f>
        <v>8.4293039407328347</v>
      </c>
      <c r="Y85" s="255">
        <f>'Pseudo-load coefficients'!Y275</f>
        <v>8.4293039407328347</v>
      </c>
    </row>
    <row r="86" spans="5:25" x14ac:dyDescent="0.25">
      <c r="E86" s="60"/>
      <c r="F86" s="254" t="s">
        <v>195</v>
      </c>
      <c r="G86" s="89" t="s">
        <v>283</v>
      </c>
      <c r="J86" s="255">
        <f>'Pseudo-load coefficients'!J276</f>
        <v>9.1588889219841825</v>
      </c>
      <c r="K86" s="255">
        <f>'Pseudo-load coefficients'!K276</f>
        <v>9.1588889219841825</v>
      </c>
      <c r="L86" s="255">
        <f>'Pseudo-load coefficients'!L276</f>
        <v>10.519897984304222</v>
      </c>
      <c r="M86" s="255">
        <f>'Pseudo-load coefficients'!M276</f>
        <v>10.519897984304222</v>
      </c>
      <c r="N86" s="255">
        <f>'Pseudo-load coefficients'!N276</f>
        <v>9.2100519048548648</v>
      </c>
      <c r="O86" s="255">
        <f>'Pseudo-load coefficients'!O276</f>
        <v>7.7993654685976024</v>
      </c>
      <c r="P86" s="255">
        <f>'Pseudo-load coefficients'!P276</f>
        <v>7.683762178276293</v>
      </c>
      <c r="Q86" s="255">
        <f>'Pseudo-load coefficients'!Q276</f>
        <v>21.824452608599437</v>
      </c>
      <c r="R86" s="255">
        <f>'Pseudo-load coefficients'!R276</f>
        <v>6.7631788652385794</v>
      </c>
      <c r="S86" s="255">
        <f>'Pseudo-load coefficients'!S276</f>
        <v>6.7631788652385794</v>
      </c>
      <c r="T86" s="255">
        <f>'Pseudo-load coefficients'!T276</f>
        <v>6.7631788652385794</v>
      </c>
      <c r="U86" s="255">
        <f>'Pseudo-load coefficients'!U276</f>
        <v>6.7631788652385794</v>
      </c>
      <c r="V86" s="255">
        <f>'Pseudo-load coefficients'!V276</f>
        <v>6.7631788652385794</v>
      </c>
      <c r="W86" s="255">
        <f>'Pseudo-load coefficients'!W276</f>
        <v>6.7631788652385794</v>
      </c>
      <c r="X86" s="255">
        <f>'Pseudo-load coefficients'!X276</f>
        <v>6.7631788652385794</v>
      </c>
      <c r="Y86" s="255">
        <f>'Pseudo-load coefficients'!Y276</f>
        <v>6.7631788652385794</v>
      </c>
    </row>
    <row r="87" spans="5:25" x14ac:dyDescent="0.25">
      <c r="E87" s="60"/>
      <c r="F87" s="254" t="s">
        <v>196</v>
      </c>
      <c r="G87" s="89" t="s">
        <v>283</v>
      </c>
      <c r="J87" s="255">
        <f>'Pseudo-load coefficients'!J277</f>
        <v>0</v>
      </c>
      <c r="K87" s="255">
        <f>'Pseudo-load coefficients'!K277</f>
        <v>0</v>
      </c>
      <c r="L87" s="255">
        <f>'Pseudo-load coefficients'!L277</f>
        <v>0</v>
      </c>
      <c r="M87" s="255">
        <f>'Pseudo-load coefficients'!M277</f>
        <v>0</v>
      </c>
      <c r="N87" s="255">
        <f>'Pseudo-load coefficients'!N277</f>
        <v>0</v>
      </c>
      <c r="O87" s="255">
        <f>'Pseudo-load coefficients'!O277</f>
        <v>0</v>
      </c>
      <c r="P87" s="255">
        <f>'Pseudo-load coefficients'!P277</f>
        <v>0</v>
      </c>
      <c r="Q87" s="255">
        <f>'Pseudo-load coefficients'!Q277</f>
        <v>0</v>
      </c>
      <c r="R87" s="255">
        <f>'Pseudo-load coefficients'!R277</f>
        <v>0</v>
      </c>
      <c r="S87" s="255">
        <f>'Pseudo-load coefficients'!S277</f>
        <v>0</v>
      </c>
      <c r="T87" s="255">
        <f>'Pseudo-load coefficients'!T277</f>
        <v>0</v>
      </c>
      <c r="U87" s="255">
        <f>'Pseudo-load coefficients'!U277</f>
        <v>0</v>
      </c>
      <c r="V87" s="255">
        <f>'Pseudo-load coefficients'!V277</f>
        <v>0</v>
      </c>
      <c r="W87" s="255">
        <f>'Pseudo-load coefficients'!W277</f>
        <v>0</v>
      </c>
      <c r="X87" s="255">
        <f>'Pseudo-load coefficients'!X277</f>
        <v>0</v>
      </c>
      <c r="Y87" s="255">
        <f>'Pseudo-load coefficients'!Y277</f>
        <v>0</v>
      </c>
    </row>
    <row r="88" spans="5:25" x14ac:dyDescent="0.25">
      <c r="E88" s="60"/>
      <c r="F88" s="254" t="s">
        <v>197</v>
      </c>
      <c r="G88" s="89" t="s">
        <v>283</v>
      </c>
      <c r="J88" s="255">
        <f>'Pseudo-load coefficients'!J278</f>
        <v>9.1588889219841825</v>
      </c>
      <c r="K88" s="255">
        <f>'Pseudo-load coefficients'!K278</f>
        <v>9.1588889219841825</v>
      </c>
      <c r="L88" s="255">
        <f>'Pseudo-load coefficients'!L278</f>
        <v>10.519897984304222</v>
      </c>
      <c r="M88" s="255">
        <f>'Pseudo-load coefficients'!M278</f>
        <v>10.519897984304222</v>
      </c>
      <c r="N88" s="255">
        <f>'Pseudo-load coefficients'!N278</f>
        <v>9.2100519048548648</v>
      </c>
      <c r="O88" s="255">
        <f>'Pseudo-load coefficients'!O278</f>
        <v>7.7993654685976024</v>
      </c>
      <c r="P88" s="255">
        <f>'Pseudo-load coefficients'!P278</f>
        <v>7.683762178276293</v>
      </c>
      <c r="Q88" s="255">
        <f>'Pseudo-load coefficients'!Q278</f>
        <v>21.824452608599437</v>
      </c>
      <c r="R88" s="255">
        <f>'Pseudo-load coefficients'!R278</f>
        <v>6.7631788652385794</v>
      </c>
      <c r="S88" s="255">
        <f>'Pseudo-load coefficients'!S278</f>
        <v>6.7631788652385794</v>
      </c>
      <c r="T88" s="255">
        <f>'Pseudo-load coefficients'!T278</f>
        <v>6.7631788652385794</v>
      </c>
      <c r="U88" s="255">
        <f>'Pseudo-load coefficients'!U278</f>
        <v>6.7631788652385794</v>
      </c>
      <c r="V88" s="255">
        <f>'Pseudo-load coefficients'!V278</f>
        <v>6.7631788652385794</v>
      </c>
      <c r="W88" s="255">
        <f>'Pseudo-load coefficients'!W278</f>
        <v>6.7631788652385794</v>
      </c>
      <c r="X88" s="255">
        <f>'Pseudo-load coefficients'!X278</f>
        <v>6.7631788652385794</v>
      </c>
      <c r="Y88" s="255">
        <f>'Pseudo-load coefficients'!Y278</f>
        <v>6.7631788652385794</v>
      </c>
    </row>
    <row r="89" spans="5:25" x14ac:dyDescent="0.25">
      <c r="E89" s="60"/>
      <c r="F89" s="254" t="s">
        <v>198</v>
      </c>
      <c r="G89" s="89" t="s">
        <v>283</v>
      </c>
      <c r="J89" s="255">
        <f>'Pseudo-load coefficients'!J279</f>
        <v>9.1588889219841825</v>
      </c>
      <c r="K89" s="255">
        <f>'Pseudo-load coefficients'!K279</f>
        <v>9.1588889219841825</v>
      </c>
      <c r="L89" s="255">
        <f>'Pseudo-load coefficients'!L279</f>
        <v>10.519897984304222</v>
      </c>
      <c r="M89" s="255">
        <f>'Pseudo-load coefficients'!M279</f>
        <v>10.519897984304222</v>
      </c>
      <c r="N89" s="255">
        <f>'Pseudo-load coefficients'!N279</f>
        <v>9.2100519048548648</v>
      </c>
      <c r="O89" s="255">
        <f>'Pseudo-load coefficients'!O279</f>
        <v>7.7993654685976024</v>
      </c>
      <c r="P89" s="255">
        <f>'Pseudo-load coefficients'!P279</f>
        <v>7.683762178276293</v>
      </c>
      <c r="Q89" s="255">
        <f>'Pseudo-load coefficients'!Q279</f>
        <v>21.824452608599437</v>
      </c>
      <c r="R89" s="255">
        <f>'Pseudo-load coefficients'!R279</f>
        <v>6.7631788652385794</v>
      </c>
      <c r="S89" s="255">
        <f>'Pseudo-load coefficients'!S279</f>
        <v>6.7631788652385794</v>
      </c>
      <c r="T89" s="255">
        <f>'Pseudo-load coefficients'!T279</f>
        <v>6.7631788652385794</v>
      </c>
      <c r="U89" s="255">
        <f>'Pseudo-load coefficients'!U279</f>
        <v>6.7631788652385794</v>
      </c>
      <c r="V89" s="255">
        <f>'Pseudo-load coefficients'!V279</f>
        <v>6.7631788652385794</v>
      </c>
      <c r="W89" s="255">
        <f>'Pseudo-load coefficients'!W279</f>
        <v>6.7631788652385794</v>
      </c>
      <c r="X89" s="255">
        <f>'Pseudo-load coefficients'!X279</f>
        <v>6.7631788652385794</v>
      </c>
      <c r="Y89" s="255">
        <f>'Pseudo-load coefficients'!Y279</f>
        <v>6.7631788652385794</v>
      </c>
    </row>
    <row r="90" spans="5:25" x14ac:dyDescent="0.25">
      <c r="E90" s="60"/>
      <c r="F90" s="256" t="s">
        <v>199</v>
      </c>
      <c r="G90" s="96" t="s">
        <v>283</v>
      </c>
      <c r="H90" s="91"/>
      <c r="I90" s="91"/>
      <c r="J90" s="257">
        <f>'Pseudo-load coefficients'!J280</f>
        <v>9.1588889219841825</v>
      </c>
      <c r="K90" s="257">
        <f>'Pseudo-load coefficients'!K280</f>
        <v>9.1588889219841825</v>
      </c>
      <c r="L90" s="257">
        <f>'Pseudo-load coefficients'!L280</f>
        <v>10.519897984304222</v>
      </c>
      <c r="M90" s="257">
        <f>'Pseudo-load coefficients'!M280</f>
        <v>10.519897984304222</v>
      </c>
      <c r="N90" s="257">
        <f>'Pseudo-load coefficients'!N280</f>
        <v>9.2100519048548648</v>
      </c>
      <c r="O90" s="257">
        <f>'Pseudo-load coefficients'!O280</f>
        <v>7.7993654685976024</v>
      </c>
      <c r="P90" s="257">
        <f>'Pseudo-load coefficients'!P280</f>
        <v>7.683762178276293</v>
      </c>
      <c r="Q90" s="257">
        <f>'Pseudo-load coefficients'!Q280</f>
        <v>21.824452608599437</v>
      </c>
      <c r="R90" s="257">
        <f>'Pseudo-load coefficients'!R280</f>
        <v>6.7631788652385794</v>
      </c>
      <c r="S90" s="257">
        <f>'Pseudo-load coefficients'!S280</f>
        <v>6.7631788652385794</v>
      </c>
      <c r="T90" s="257">
        <f>'Pseudo-load coefficients'!T280</f>
        <v>6.7631788652385794</v>
      </c>
      <c r="U90" s="257">
        <f>'Pseudo-load coefficients'!U280</f>
        <v>6.7631788652385794</v>
      </c>
      <c r="V90" s="257">
        <f>'Pseudo-load coefficients'!V280</f>
        <v>6.7631788652385794</v>
      </c>
      <c r="W90" s="257">
        <f>'Pseudo-load coefficients'!W280</f>
        <v>6.7631788652385794</v>
      </c>
      <c r="X90" s="257">
        <f>'Pseudo-load coefficients'!X280</f>
        <v>6.7631788652385794</v>
      </c>
      <c r="Y90" s="257">
        <f>'Pseudo-load coefficients'!Y280</f>
        <v>6.7631788652385794</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508</v>
      </c>
      <c r="J92" s="259"/>
      <c r="K92" s="259"/>
      <c r="L92" s="259"/>
      <c r="M92" s="259"/>
      <c r="N92" s="259"/>
      <c r="O92" s="259"/>
      <c r="P92" s="259"/>
      <c r="Q92" s="259"/>
      <c r="R92" s="259"/>
      <c r="S92" s="259"/>
      <c r="T92" s="259"/>
      <c r="U92" s="259"/>
      <c r="V92" s="259"/>
      <c r="W92" s="259"/>
      <c r="X92" s="259"/>
      <c r="Y92" s="259"/>
    </row>
    <row r="93" spans="5:25" x14ac:dyDescent="0.25">
      <c r="E93" s="60"/>
      <c r="F93" s="253" t="s">
        <v>189</v>
      </c>
      <c r="G93" s="93" t="s">
        <v>283</v>
      </c>
      <c r="H93" s="90"/>
      <c r="I93" s="90"/>
      <c r="J93" s="262">
        <f>'Pseudo-load coefficients'!J283</f>
        <v>0.83075793868016534</v>
      </c>
      <c r="K93" s="262">
        <f>'Pseudo-load coefficients'!K283</f>
        <v>0.83075793868016534</v>
      </c>
      <c r="L93" s="262">
        <f>'Pseudo-load coefficients'!L283</f>
        <v>0.95420840224284309</v>
      </c>
      <c r="M93" s="262">
        <f>'Pseudo-load coefficients'!M283</f>
        <v>0.95420840224284309</v>
      </c>
      <c r="N93" s="262">
        <f>'Pseudo-load coefficients'!N283</f>
        <v>0.83539868217519275</v>
      </c>
      <c r="O93" s="262">
        <f>'Pseudo-load coefficients'!O283</f>
        <v>0.70744222742486451</v>
      </c>
      <c r="P93" s="262">
        <f>'Pseudo-load coefficients'!P283</f>
        <v>0.69695641937652653</v>
      </c>
      <c r="Q93" s="262">
        <f>'Pseudo-load coefficients'!Q283</f>
        <v>0.71226727051894578</v>
      </c>
      <c r="R93" s="262">
        <f>'Pseudo-load coefficients'!R283</f>
        <v>0.61345481759523901</v>
      </c>
      <c r="S93" s="262">
        <f>'Pseudo-load coefficients'!S283</f>
        <v>0.61345481759523901</v>
      </c>
      <c r="T93" s="262">
        <f>'Pseudo-load coefficients'!T283</f>
        <v>0.61345481759523901</v>
      </c>
      <c r="U93" s="262">
        <f>'Pseudo-load coefficients'!U283</f>
        <v>0.61345481759523901</v>
      </c>
      <c r="V93" s="262">
        <f>'Pseudo-load coefficients'!V283</f>
        <v>0.61345481759523901</v>
      </c>
      <c r="W93" s="262">
        <f>'Pseudo-load coefficients'!W283</f>
        <v>0.61345481759523901</v>
      </c>
      <c r="X93" s="262">
        <f>'Pseudo-load coefficients'!X283</f>
        <v>0.61345481759523901</v>
      </c>
      <c r="Y93" s="262">
        <f>'Pseudo-load coefficients'!Y283</f>
        <v>0.61345481759523901</v>
      </c>
    </row>
    <row r="94" spans="5:25" x14ac:dyDescent="0.25">
      <c r="E94" s="60"/>
      <c r="F94" s="254" t="s">
        <v>191</v>
      </c>
      <c r="G94" s="89" t="s">
        <v>283</v>
      </c>
      <c r="J94" s="255">
        <f>'Pseudo-load coefficients'!J283</f>
        <v>0.83075793868016534</v>
      </c>
      <c r="K94" s="255">
        <f>'Pseudo-load coefficients'!K283</f>
        <v>0.83075793868016534</v>
      </c>
      <c r="L94" s="255">
        <f>'Pseudo-load coefficients'!L283</f>
        <v>0.95420840224284309</v>
      </c>
      <c r="M94" s="255">
        <f>'Pseudo-load coefficients'!M283</f>
        <v>0.95420840224284309</v>
      </c>
      <c r="N94" s="255">
        <f>'Pseudo-load coefficients'!N283</f>
        <v>0.83539868217519275</v>
      </c>
      <c r="O94" s="255">
        <f>'Pseudo-load coefficients'!O283</f>
        <v>0.70744222742486451</v>
      </c>
      <c r="P94" s="255">
        <f>'Pseudo-load coefficients'!P283</f>
        <v>0.69695641937652653</v>
      </c>
      <c r="Q94" s="255">
        <f>'Pseudo-load coefficients'!Q283</f>
        <v>0.71226727051894578</v>
      </c>
      <c r="R94" s="255">
        <f>'Pseudo-load coefficients'!R283</f>
        <v>0.61345481759523901</v>
      </c>
      <c r="S94" s="255">
        <f>'Pseudo-load coefficients'!S283</f>
        <v>0.61345481759523901</v>
      </c>
      <c r="T94" s="255">
        <f>'Pseudo-load coefficients'!T283</f>
        <v>0.61345481759523901</v>
      </c>
      <c r="U94" s="255">
        <f>'Pseudo-load coefficients'!U283</f>
        <v>0.61345481759523901</v>
      </c>
      <c r="V94" s="255">
        <f>'Pseudo-load coefficients'!V283</f>
        <v>0.61345481759523901</v>
      </c>
      <c r="W94" s="255">
        <f>'Pseudo-load coefficients'!W283</f>
        <v>0.61345481759523901</v>
      </c>
      <c r="X94" s="255">
        <f>'Pseudo-load coefficients'!X283</f>
        <v>0.61345481759523901</v>
      </c>
      <c r="Y94" s="255">
        <f>'Pseudo-load coefficients'!Y283</f>
        <v>0.61345481759523901</v>
      </c>
    </row>
    <row r="95" spans="5:25" x14ac:dyDescent="0.25">
      <c r="E95" s="60"/>
      <c r="F95" s="254" t="s">
        <v>192</v>
      </c>
      <c r="G95" s="89" t="s">
        <v>283</v>
      </c>
      <c r="J95" s="255">
        <f>'Pseudo-load coefficients'!J284</f>
        <v>0</v>
      </c>
      <c r="K95" s="255">
        <f>'Pseudo-load coefficients'!K284</f>
        <v>0</v>
      </c>
      <c r="L95" s="255">
        <f>'Pseudo-load coefficients'!L284</f>
        <v>0</v>
      </c>
      <c r="M95" s="255">
        <f>'Pseudo-load coefficients'!M284</f>
        <v>0</v>
      </c>
      <c r="N95" s="255">
        <f>'Pseudo-load coefficients'!N284</f>
        <v>0</v>
      </c>
      <c r="O95" s="255">
        <f>'Pseudo-load coefficients'!O284</f>
        <v>0</v>
      </c>
      <c r="P95" s="255">
        <f>'Pseudo-load coefficients'!P284</f>
        <v>0</v>
      </c>
      <c r="Q95" s="255">
        <f>'Pseudo-load coefficients'!Q284</f>
        <v>0</v>
      </c>
      <c r="R95" s="255">
        <f>'Pseudo-load coefficients'!R284</f>
        <v>0</v>
      </c>
      <c r="S95" s="255">
        <f>'Pseudo-load coefficients'!S284</f>
        <v>0</v>
      </c>
      <c r="T95" s="255">
        <f>'Pseudo-load coefficients'!T284</f>
        <v>0</v>
      </c>
      <c r="U95" s="255">
        <f>'Pseudo-load coefficients'!U284</f>
        <v>0</v>
      </c>
      <c r="V95" s="255">
        <f>'Pseudo-load coefficients'!V284</f>
        <v>0</v>
      </c>
      <c r="W95" s="255">
        <f>'Pseudo-load coefficients'!W284</f>
        <v>0</v>
      </c>
      <c r="X95" s="255">
        <f>'Pseudo-load coefficients'!X284</f>
        <v>0</v>
      </c>
      <c r="Y95" s="255">
        <f>'Pseudo-load coefficients'!Y284</f>
        <v>0</v>
      </c>
    </row>
    <row r="96" spans="5:25" x14ac:dyDescent="0.25">
      <c r="E96" s="60"/>
      <c r="F96" s="254" t="s">
        <v>193</v>
      </c>
      <c r="G96" s="89" t="s">
        <v>283</v>
      </c>
      <c r="J96" s="255">
        <f>'Pseudo-load coefficients'!J285</f>
        <v>0</v>
      </c>
      <c r="K96" s="255">
        <f>'Pseudo-load coefficients'!K285</f>
        <v>0</v>
      </c>
      <c r="L96" s="255">
        <f>'Pseudo-load coefficients'!L285</f>
        <v>0</v>
      </c>
      <c r="M96" s="255">
        <f>'Pseudo-load coefficients'!M285</f>
        <v>0</v>
      </c>
      <c r="N96" s="255">
        <f>'Pseudo-load coefficients'!N285</f>
        <v>0</v>
      </c>
      <c r="O96" s="255">
        <f>'Pseudo-load coefficients'!O285</f>
        <v>0</v>
      </c>
      <c r="P96" s="255">
        <f>'Pseudo-load coefficients'!P285</f>
        <v>0</v>
      </c>
      <c r="Q96" s="255">
        <f>'Pseudo-load coefficients'!Q285</f>
        <v>0</v>
      </c>
      <c r="R96" s="255">
        <f>'Pseudo-load coefficients'!R285</f>
        <v>0</v>
      </c>
      <c r="S96" s="255">
        <f>'Pseudo-load coefficients'!S285</f>
        <v>0</v>
      </c>
      <c r="T96" s="255">
        <f>'Pseudo-load coefficients'!T285</f>
        <v>0</v>
      </c>
      <c r="U96" s="255">
        <f>'Pseudo-load coefficients'!U285</f>
        <v>0</v>
      </c>
      <c r="V96" s="255">
        <f>'Pseudo-load coefficients'!V285</f>
        <v>0</v>
      </c>
      <c r="W96" s="255">
        <f>'Pseudo-load coefficients'!W285</f>
        <v>0</v>
      </c>
      <c r="X96" s="255">
        <f>'Pseudo-load coefficients'!X285</f>
        <v>0</v>
      </c>
      <c r="Y96" s="255">
        <f>'Pseudo-load coefficients'!Y285</f>
        <v>0</v>
      </c>
    </row>
    <row r="97" spans="3:25" x14ac:dyDescent="0.25">
      <c r="E97" s="60"/>
      <c r="F97" s="254" t="s">
        <v>194</v>
      </c>
      <c r="G97" s="89" t="s">
        <v>283</v>
      </c>
      <c r="J97" s="255">
        <f>'Pseudo-load coefficients'!J286</f>
        <v>0.83075793868016534</v>
      </c>
      <c r="K97" s="255">
        <f>'Pseudo-load coefficients'!K286</f>
        <v>0.83075793868016534</v>
      </c>
      <c r="L97" s="255">
        <f>'Pseudo-load coefficients'!L286</f>
        <v>0.95420840224284309</v>
      </c>
      <c r="M97" s="255">
        <f>'Pseudo-load coefficients'!M286</f>
        <v>0.95420840224284309</v>
      </c>
      <c r="N97" s="255">
        <f>'Pseudo-load coefficients'!N286</f>
        <v>0.83539868217519275</v>
      </c>
      <c r="O97" s="255">
        <f>'Pseudo-load coefficients'!O286</f>
        <v>0.70744222742486451</v>
      </c>
      <c r="P97" s="255">
        <f>'Pseudo-load coefficients'!P286</f>
        <v>0.69695641937652653</v>
      </c>
      <c r="Q97" s="255">
        <f>'Pseudo-load coefficients'!Q286</f>
        <v>0.71226727051894578</v>
      </c>
      <c r="R97" s="255">
        <f>'Pseudo-load coefficients'!R286</f>
        <v>0.61345481759523901</v>
      </c>
      <c r="S97" s="255">
        <f>'Pseudo-load coefficients'!S286</f>
        <v>0.61345481759523901</v>
      </c>
      <c r="T97" s="255">
        <f>'Pseudo-load coefficients'!T286</f>
        <v>0.61345481759523901</v>
      </c>
      <c r="U97" s="255">
        <f>'Pseudo-load coefficients'!U286</f>
        <v>0.61345481759523901</v>
      </c>
      <c r="V97" s="255">
        <f>'Pseudo-load coefficients'!V286</f>
        <v>0.61345481759523901</v>
      </c>
      <c r="W97" s="255">
        <f>'Pseudo-load coefficients'!W286</f>
        <v>0.61345481759523901</v>
      </c>
      <c r="X97" s="255">
        <f>'Pseudo-load coefficients'!X286</f>
        <v>0.61345481759523901</v>
      </c>
      <c r="Y97" s="255">
        <f>'Pseudo-load coefficients'!Y286</f>
        <v>0.61345481759523901</v>
      </c>
    </row>
    <row r="98" spans="3:25" x14ac:dyDescent="0.25">
      <c r="E98" s="60"/>
      <c r="F98" s="254" t="s">
        <v>195</v>
      </c>
      <c r="G98" s="89" t="s">
        <v>283</v>
      </c>
      <c r="J98" s="255">
        <f>'Pseudo-load coefficients'!J287</f>
        <v>1.3390623186418318</v>
      </c>
      <c r="K98" s="255">
        <f>'Pseudo-load coefficients'!K287</f>
        <v>1.3390623186418318</v>
      </c>
      <c r="L98" s="255">
        <f>'Pseudo-load coefficients'!L287</f>
        <v>1.5380467114220857</v>
      </c>
      <c r="M98" s="255">
        <f>'Pseudo-load coefficients'!M287</f>
        <v>1.5380467114220857</v>
      </c>
      <c r="N98" s="255">
        <f>'Pseudo-load coefficients'!N287</f>
        <v>1.3465425297302096</v>
      </c>
      <c r="O98" s="255">
        <f>'Pseudo-load coefficients'!O287</f>
        <v>1.1402951272011703</v>
      </c>
      <c r="P98" s="255">
        <f>'Pseudo-load coefficients'!P287</f>
        <v>1.1233935126823273</v>
      </c>
      <c r="Q98" s="255">
        <f>'Pseudo-load coefficients'!Q287</f>
        <v>0.99433066711801354</v>
      </c>
      <c r="R98" s="255">
        <f>'Pseudo-load coefficients'!R287</f>
        <v>0.98880093970108363</v>
      </c>
      <c r="S98" s="255">
        <f>'Pseudo-load coefficients'!S287</f>
        <v>0.98880093970108363</v>
      </c>
      <c r="T98" s="255">
        <f>'Pseudo-load coefficients'!T287</f>
        <v>0.98880093970108363</v>
      </c>
      <c r="U98" s="255">
        <f>'Pseudo-load coefficients'!U287</f>
        <v>0.98880093970108363</v>
      </c>
      <c r="V98" s="255">
        <f>'Pseudo-load coefficients'!V287</f>
        <v>0.98880093970108363</v>
      </c>
      <c r="W98" s="255">
        <f>'Pseudo-load coefficients'!W287</f>
        <v>0.98880093970108363</v>
      </c>
      <c r="X98" s="255">
        <f>'Pseudo-load coefficients'!X287</f>
        <v>0.98880093970108363</v>
      </c>
      <c r="Y98" s="255">
        <f>'Pseudo-load coefficients'!Y287</f>
        <v>0.98880093970108363</v>
      </c>
    </row>
    <row r="99" spans="3:25" x14ac:dyDescent="0.25">
      <c r="E99" s="60"/>
      <c r="F99" s="254" t="s">
        <v>196</v>
      </c>
      <c r="G99" s="89" t="s">
        <v>283</v>
      </c>
      <c r="J99" s="255">
        <f>'Pseudo-load coefficients'!J288</f>
        <v>0</v>
      </c>
      <c r="K99" s="255">
        <f>'Pseudo-load coefficients'!K288</f>
        <v>0</v>
      </c>
      <c r="L99" s="255">
        <f>'Pseudo-load coefficients'!L288</f>
        <v>0</v>
      </c>
      <c r="M99" s="255">
        <f>'Pseudo-load coefficients'!M288</f>
        <v>0</v>
      </c>
      <c r="N99" s="255">
        <f>'Pseudo-load coefficients'!N288</f>
        <v>0</v>
      </c>
      <c r="O99" s="255">
        <f>'Pseudo-load coefficients'!O288</f>
        <v>0</v>
      </c>
      <c r="P99" s="255">
        <f>'Pseudo-load coefficients'!P288</f>
        <v>0</v>
      </c>
      <c r="Q99" s="255">
        <f>'Pseudo-load coefficients'!Q288</f>
        <v>0</v>
      </c>
      <c r="R99" s="255">
        <f>'Pseudo-load coefficients'!R288</f>
        <v>0</v>
      </c>
      <c r="S99" s="255">
        <f>'Pseudo-load coefficients'!S288</f>
        <v>0</v>
      </c>
      <c r="T99" s="255">
        <f>'Pseudo-load coefficients'!T288</f>
        <v>0</v>
      </c>
      <c r="U99" s="255">
        <f>'Pseudo-load coefficients'!U288</f>
        <v>0</v>
      </c>
      <c r="V99" s="255">
        <f>'Pseudo-load coefficients'!V288</f>
        <v>0</v>
      </c>
      <c r="W99" s="255">
        <f>'Pseudo-load coefficients'!W288</f>
        <v>0</v>
      </c>
      <c r="X99" s="255">
        <f>'Pseudo-load coefficients'!X288</f>
        <v>0</v>
      </c>
      <c r="Y99" s="255">
        <f>'Pseudo-load coefficients'!Y288</f>
        <v>0</v>
      </c>
    </row>
    <row r="100" spans="3:25" x14ac:dyDescent="0.25">
      <c r="E100" s="60"/>
      <c r="F100" s="254" t="s">
        <v>197</v>
      </c>
      <c r="G100" s="89" t="s">
        <v>283</v>
      </c>
      <c r="J100" s="255">
        <f>'Pseudo-load coefficients'!J289</f>
        <v>1.3390623186418318</v>
      </c>
      <c r="K100" s="255">
        <f>'Pseudo-load coefficients'!K289</f>
        <v>1.3390623186418318</v>
      </c>
      <c r="L100" s="255">
        <f>'Pseudo-load coefficients'!L289</f>
        <v>1.5380467114220857</v>
      </c>
      <c r="M100" s="255">
        <f>'Pseudo-load coefficients'!M289</f>
        <v>1.5380467114220857</v>
      </c>
      <c r="N100" s="255">
        <f>'Pseudo-load coefficients'!N289</f>
        <v>1.3465425297302096</v>
      </c>
      <c r="O100" s="255">
        <f>'Pseudo-load coefficients'!O289</f>
        <v>1.1402951272011703</v>
      </c>
      <c r="P100" s="255">
        <f>'Pseudo-load coefficients'!P289</f>
        <v>1.1233935126823273</v>
      </c>
      <c r="Q100" s="255">
        <f>'Pseudo-load coefficients'!Q289</f>
        <v>0.99433066711801354</v>
      </c>
      <c r="R100" s="255">
        <f>'Pseudo-load coefficients'!R289</f>
        <v>0.98880093970108363</v>
      </c>
      <c r="S100" s="255">
        <f>'Pseudo-load coefficients'!S289</f>
        <v>0.98880093970108363</v>
      </c>
      <c r="T100" s="255">
        <f>'Pseudo-load coefficients'!T289</f>
        <v>0.98880093970108363</v>
      </c>
      <c r="U100" s="255">
        <f>'Pseudo-load coefficients'!U289</f>
        <v>0.98880093970108363</v>
      </c>
      <c r="V100" s="255">
        <f>'Pseudo-load coefficients'!V289</f>
        <v>0.98880093970108363</v>
      </c>
      <c r="W100" s="255">
        <f>'Pseudo-load coefficients'!W289</f>
        <v>0.98880093970108363</v>
      </c>
      <c r="X100" s="255">
        <f>'Pseudo-load coefficients'!X289</f>
        <v>0.98880093970108363</v>
      </c>
      <c r="Y100" s="255">
        <f>'Pseudo-load coefficients'!Y289</f>
        <v>0.98880093970108363</v>
      </c>
    </row>
    <row r="101" spans="3:25" x14ac:dyDescent="0.25">
      <c r="E101" s="60"/>
      <c r="F101" s="254" t="s">
        <v>198</v>
      </c>
      <c r="G101" s="89" t="s">
        <v>283</v>
      </c>
      <c r="J101" s="255">
        <f>'Pseudo-load coefficients'!J290</f>
        <v>1.3390623186418318</v>
      </c>
      <c r="K101" s="255">
        <f>'Pseudo-load coefficients'!K290</f>
        <v>1.3390623186418318</v>
      </c>
      <c r="L101" s="255">
        <f>'Pseudo-load coefficients'!L290</f>
        <v>1.5380467114220857</v>
      </c>
      <c r="M101" s="255">
        <f>'Pseudo-load coefficients'!M290</f>
        <v>1.5380467114220857</v>
      </c>
      <c r="N101" s="255">
        <f>'Pseudo-load coefficients'!N290</f>
        <v>1.3465425297302096</v>
      </c>
      <c r="O101" s="255">
        <f>'Pseudo-load coefficients'!O290</f>
        <v>1.1402951272011703</v>
      </c>
      <c r="P101" s="255">
        <f>'Pseudo-load coefficients'!P290</f>
        <v>1.1233935126823273</v>
      </c>
      <c r="Q101" s="255">
        <f>'Pseudo-load coefficients'!Q290</f>
        <v>0.99433066711801354</v>
      </c>
      <c r="R101" s="255">
        <f>'Pseudo-load coefficients'!R290</f>
        <v>0.98880093970108363</v>
      </c>
      <c r="S101" s="255">
        <f>'Pseudo-load coefficients'!S290</f>
        <v>0.98880093970108363</v>
      </c>
      <c r="T101" s="255">
        <f>'Pseudo-load coefficients'!T290</f>
        <v>0.98880093970108363</v>
      </c>
      <c r="U101" s="255">
        <f>'Pseudo-load coefficients'!U290</f>
        <v>0.98880093970108363</v>
      </c>
      <c r="V101" s="255">
        <f>'Pseudo-load coefficients'!V290</f>
        <v>0.98880093970108363</v>
      </c>
      <c r="W101" s="255">
        <f>'Pseudo-load coefficients'!W290</f>
        <v>0.98880093970108363</v>
      </c>
      <c r="X101" s="255">
        <f>'Pseudo-load coefficients'!X290</f>
        <v>0.98880093970108363</v>
      </c>
      <c r="Y101" s="255">
        <f>'Pseudo-load coefficients'!Y290</f>
        <v>0.98880093970108363</v>
      </c>
    </row>
    <row r="102" spans="3:25" x14ac:dyDescent="0.25">
      <c r="E102" s="60"/>
      <c r="F102" s="256" t="s">
        <v>199</v>
      </c>
      <c r="G102" s="96" t="s">
        <v>283</v>
      </c>
      <c r="H102" s="91"/>
      <c r="I102" s="91"/>
      <c r="J102" s="257">
        <f>'Pseudo-load coefficients'!J291</f>
        <v>1.3390623186418318</v>
      </c>
      <c r="K102" s="257">
        <f>'Pseudo-load coefficients'!K291</f>
        <v>1.3390623186418318</v>
      </c>
      <c r="L102" s="257">
        <f>'Pseudo-load coefficients'!L291</f>
        <v>1.5380467114220857</v>
      </c>
      <c r="M102" s="257">
        <f>'Pseudo-load coefficients'!M291</f>
        <v>1.5380467114220857</v>
      </c>
      <c r="N102" s="257">
        <f>'Pseudo-load coefficients'!N291</f>
        <v>1.3465425297302096</v>
      </c>
      <c r="O102" s="257">
        <f>'Pseudo-load coefficients'!O291</f>
        <v>1.1402951272011703</v>
      </c>
      <c r="P102" s="257">
        <f>'Pseudo-load coefficients'!P291</f>
        <v>1.1233935126823273</v>
      </c>
      <c r="Q102" s="257">
        <f>'Pseudo-load coefficients'!Q291</f>
        <v>0.99433066711801354</v>
      </c>
      <c r="R102" s="257">
        <f>'Pseudo-load coefficients'!R291</f>
        <v>0.98880093970108363</v>
      </c>
      <c r="S102" s="257">
        <f>'Pseudo-load coefficients'!S291</f>
        <v>0.98880093970108363</v>
      </c>
      <c r="T102" s="257">
        <f>'Pseudo-load coefficients'!T291</f>
        <v>0.98880093970108363</v>
      </c>
      <c r="U102" s="257">
        <f>'Pseudo-load coefficients'!U291</f>
        <v>0.98880093970108363</v>
      </c>
      <c r="V102" s="257">
        <f>'Pseudo-load coefficients'!V291</f>
        <v>0.98880093970108363</v>
      </c>
      <c r="W102" s="257">
        <f>'Pseudo-load coefficients'!W291</f>
        <v>0.98880093970108363</v>
      </c>
      <c r="X102" s="257">
        <f>'Pseudo-load coefficients'!X291</f>
        <v>0.98880093970108363</v>
      </c>
      <c r="Y102" s="257">
        <f>'Pseudo-load coefficients'!Y291</f>
        <v>0.98880093970108363</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511</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189</v>
      </c>
      <c r="G105" s="93" t="s">
        <v>283</v>
      </c>
      <c r="H105" s="90"/>
      <c r="I105" s="90"/>
      <c r="J105" s="262">
        <f>'Pseudo-load coefficients'!J294</f>
        <v>1.8823355421454451E-2</v>
      </c>
      <c r="K105" s="262">
        <f>'Pseudo-load coefficients'!K294</f>
        <v>1.8823355421454451E-2</v>
      </c>
      <c r="L105" s="262">
        <f>'Pseudo-load coefficients'!L294</f>
        <v>2.1620502273009511E-2</v>
      </c>
      <c r="M105" s="262">
        <f>'Pseudo-load coefficients'!M294</f>
        <v>2.1620502273009511E-2</v>
      </c>
      <c r="N105" s="262">
        <f>'Pseudo-load coefficients'!N294</f>
        <v>1.892850562244499E-2</v>
      </c>
      <c r="O105" s="262">
        <f>'Pseudo-load coefficients'!O294</f>
        <v>1.6029261794500108E-2</v>
      </c>
      <c r="P105" s="262">
        <f>'Pseudo-load coefficients'!P294</f>
        <v>1.5791673825026605E-2</v>
      </c>
      <c r="Q105" s="262">
        <f>'Pseudo-load coefficients'!Q294</f>
        <v>1.5203280823562695E-2</v>
      </c>
      <c r="R105" s="262">
        <f>'Pseudo-load coefficients'!R294</f>
        <v>1.3899690305631009E-2</v>
      </c>
      <c r="S105" s="262">
        <f>'Pseudo-load coefficients'!S294</f>
        <v>1.3899690305631009E-2</v>
      </c>
      <c r="T105" s="262">
        <f>'Pseudo-load coefficients'!T294</f>
        <v>1.3899690305631009E-2</v>
      </c>
      <c r="U105" s="262">
        <f>'Pseudo-load coefficients'!U294</f>
        <v>1.3899690305631009E-2</v>
      </c>
      <c r="V105" s="262">
        <f>'Pseudo-load coefficients'!V294</f>
        <v>1.3899690305631009E-2</v>
      </c>
      <c r="W105" s="262">
        <f>'Pseudo-load coefficients'!W294</f>
        <v>1.3899690305631009E-2</v>
      </c>
      <c r="X105" s="262">
        <f>'Pseudo-load coefficients'!X294</f>
        <v>1.3899690305631009E-2</v>
      </c>
      <c r="Y105" s="262">
        <f>'Pseudo-load coefficients'!Y294</f>
        <v>1.3899690305631009E-2</v>
      </c>
    </row>
    <row r="106" spans="3:25" x14ac:dyDescent="0.25">
      <c r="C106" s="60"/>
      <c r="E106" s="60"/>
      <c r="F106" s="254" t="s">
        <v>191</v>
      </c>
      <c r="G106" s="89" t="s">
        <v>283</v>
      </c>
      <c r="J106" s="255">
        <f>'Pseudo-load coefficients'!J294</f>
        <v>1.8823355421454451E-2</v>
      </c>
      <c r="K106" s="255">
        <f>'Pseudo-load coefficients'!K294</f>
        <v>1.8823355421454451E-2</v>
      </c>
      <c r="L106" s="255">
        <f>'Pseudo-load coefficients'!L294</f>
        <v>2.1620502273009511E-2</v>
      </c>
      <c r="M106" s="255">
        <f>'Pseudo-load coefficients'!M294</f>
        <v>2.1620502273009511E-2</v>
      </c>
      <c r="N106" s="255">
        <f>'Pseudo-load coefficients'!N294</f>
        <v>1.892850562244499E-2</v>
      </c>
      <c r="O106" s="255">
        <f>'Pseudo-load coefficients'!O294</f>
        <v>1.6029261794500108E-2</v>
      </c>
      <c r="P106" s="255">
        <f>'Pseudo-load coefficients'!P294</f>
        <v>1.5791673825026605E-2</v>
      </c>
      <c r="Q106" s="255">
        <f>'Pseudo-load coefficients'!Q294</f>
        <v>1.5203280823562695E-2</v>
      </c>
      <c r="R106" s="255">
        <f>'Pseudo-load coefficients'!R294</f>
        <v>1.3899690305631009E-2</v>
      </c>
      <c r="S106" s="255">
        <f>'Pseudo-load coefficients'!S294</f>
        <v>1.3899690305631009E-2</v>
      </c>
      <c r="T106" s="255">
        <f>'Pseudo-load coefficients'!T294</f>
        <v>1.3899690305631009E-2</v>
      </c>
      <c r="U106" s="255">
        <f>'Pseudo-load coefficients'!U294</f>
        <v>1.3899690305631009E-2</v>
      </c>
      <c r="V106" s="255">
        <f>'Pseudo-load coefficients'!V294</f>
        <v>1.3899690305631009E-2</v>
      </c>
      <c r="W106" s="255">
        <f>'Pseudo-load coefficients'!W294</f>
        <v>1.3899690305631009E-2</v>
      </c>
      <c r="X106" s="255">
        <f>'Pseudo-load coefficients'!X294</f>
        <v>1.3899690305631009E-2</v>
      </c>
      <c r="Y106" s="255">
        <f>'Pseudo-load coefficients'!Y294</f>
        <v>1.3899690305631009E-2</v>
      </c>
    </row>
    <row r="107" spans="3:25" x14ac:dyDescent="0.25">
      <c r="C107" s="60"/>
      <c r="E107" s="60"/>
      <c r="F107" s="254" t="s">
        <v>192</v>
      </c>
      <c r="G107" s="89" t="s">
        <v>283</v>
      </c>
      <c r="J107" s="255">
        <f>'Pseudo-load coefficients'!J295</f>
        <v>0</v>
      </c>
      <c r="K107" s="255">
        <f>'Pseudo-load coefficients'!K295</f>
        <v>0</v>
      </c>
      <c r="L107" s="255">
        <f>'Pseudo-load coefficients'!L295</f>
        <v>0</v>
      </c>
      <c r="M107" s="255">
        <f>'Pseudo-load coefficients'!M295</f>
        <v>0</v>
      </c>
      <c r="N107" s="255">
        <f>'Pseudo-load coefficients'!N295</f>
        <v>0</v>
      </c>
      <c r="O107" s="255">
        <f>'Pseudo-load coefficients'!O295</f>
        <v>0</v>
      </c>
      <c r="P107" s="255">
        <f>'Pseudo-load coefficients'!P295</f>
        <v>0</v>
      </c>
      <c r="Q107" s="255">
        <f>'Pseudo-load coefficients'!Q295</f>
        <v>0</v>
      </c>
      <c r="R107" s="255">
        <f>'Pseudo-load coefficients'!R295</f>
        <v>0</v>
      </c>
      <c r="S107" s="255">
        <f>'Pseudo-load coefficients'!S295</f>
        <v>0</v>
      </c>
      <c r="T107" s="255">
        <f>'Pseudo-load coefficients'!T295</f>
        <v>0</v>
      </c>
      <c r="U107" s="255">
        <f>'Pseudo-load coefficients'!U295</f>
        <v>0</v>
      </c>
      <c r="V107" s="255">
        <f>'Pseudo-load coefficients'!V295</f>
        <v>0</v>
      </c>
      <c r="W107" s="255">
        <f>'Pseudo-load coefficients'!W295</f>
        <v>0</v>
      </c>
      <c r="X107" s="255">
        <f>'Pseudo-load coefficients'!X295</f>
        <v>0</v>
      </c>
      <c r="Y107" s="255">
        <f>'Pseudo-load coefficients'!Y295</f>
        <v>0</v>
      </c>
    </row>
    <row r="108" spans="3:25" x14ac:dyDescent="0.25">
      <c r="C108" s="60"/>
      <c r="E108" s="60"/>
      <c r="F108" s="254" t="s">
        <v>193</v>
      </c>
      <c r="G108" s="89" t="s">
        <v>283</v>
      </c>
      <c r="J108" s="255">
        <f>'Pseudo-load coefficients'!J296</f>
        <v>0</v>
      </c>
      <c r="K108" s="255">
        <f>'Pseudo-load coefficients'!K296</f>
        <v>0</v>
      </c>
      <c r="L108" s="255">
        <f>'Pseudo-load coefficients'!L296</f>
        <v>0</v>
      </c>
      <c r="M108" s="255">
        <f>'Pseudo-load coefficients'!M296</f>
        <v>0</v>
      </c>
      <c r="N108" s="255">
        <f>'Pseudo-load coefficients'!N296</f>
        <v>0</v>
      </c>
      <c r="O108" s="255">
        <f>'Pseudo-load coefficients'!O296</f>
        <v>0</v>
      </c>
      <c r="P108" s="255">
        <f>'Pseudo-load coefficients'!P296</f>
        <v>0</v>
      </c>
      <c r="Q108" s="255">
        <f>'Pseudo-load coefficients'!Q296</f>
        <v>0</v>
      </c>
      <c r="R108" s="255">
        <f>'Pseudo-load coefficients'!R296</f>
        <v>0</v>
      </c>
      <c r="S108" s="255">
        <f>'Pseudo-load coefficients'!S296</f>
        <v>0</v>
      </c>
      <c r="T108" s="255">
        <f>'Pseudo-load coefficients'!T296</f>
        <v>0</v>
      </c>
      <c r="U108" s="255">
        <f>'Pseudo-load coefficients'!U296</f>
        <v>0</v>
      </c>
      <c r="V108" s="255">
        <f>'Pseudo-load coefficients'!V296</f>
        <v>0</v>
      </c>
      <c r="W108" s="255">
        <f>'Pseudo-load coefficients'!W296</f>
        <v>0</v>
      </c>
      <c r="X108" s="255">
        <f>'Pseudo-load coefficients'!X296</f>
        <v>0</v>
      </c>
      <c r="Y108" s="255">
        <f>'Pseudo-load coefficients'!Y296</f>
        <v>0</v>
      </c>
    </row>
    <row r="109" spans="3:25" x14ac:dyDescent="0.25">
      <c r="C109" s="60"/>
      <c r="E109" s="60"/>
      <c r="F109" s="254" t="s">
        <v>194</v>
      </c>
      <c r="G109" s="89" t="s">
        <v>283</v>
      </c>
      <c r="J109" s="255">
        <f>'Pseudo-load coefficients'!J297</f>
        <v>1.8823355421454451E-2</v>
      </c>
      <c r="K109" s="255">
        <f>'Pseudo-load coefficients'!K297</f>
        <v>1.8823355421454451E-2</v>
      </c>
      <c r="L109" s="255">
        <f>'Pseudo-load coefficients'!L297</f>
        <v>2.1620502273009511E-2</v>
      </c>
      <c r="M109" s="255">
        <f>'Pseudo-load coefficients'!M297</f>
        <v>2.1620502273009511E-2</v>
      </c>
      <c r="N109" s="255">
        <f>'Pseudo-load coefficients'!N297</f>
        <v>1.892850562244499E-2</v>
      </c>
      <c r="O109" s="255">
        <f>'Pseudo-load coefficients'!O297</f>
        <v>1.6029261794500108E-2</v>
      </c>
      <c r="P109" s="255">
        <f>'Pseudo-load coefficients'!P297</f>
        <v>1.5791673825026605E-2</v>
      </c>
      <c r="Q109" s="255">
        <f>'Pseudo-load coefficients'!Q297</f>
        <v>1.5203280823562695E-2</v>
      </c>
      <c r="R109" s="255">
        <f>'Pseudo-load coefficients'!R297</f>
        <v>1.3899690305631009E-2</v>
      </c>
      <c r="S109" s="255">
        <f>'Pseudo-load coefficients'!S297</f>
        <v>1.3899690305631009E-2</v>
      </c>
      <c r="T109" s="255">
        <f>'Pseudo-load coefficients'!T297</f>
        <v>1.3899690305631009E-2</v>
      </c>
      <c r="U109" s="255">
        <f>'Pseudo-load coefficients'!U297</f>
        <v>1.3899690305631009E-2</v>
      </c>
      <c r="V109" s="255">
        <f>'Pseudo-load coefficients'!V297</f>
        <v>1.3899690305631009E-2</v>
      </c>
      <c r="W109" s="255">
        <f>'Pseudo-load coefficients'!W297</f>
        <v>1.3899690305631009E-2</v>
      </c>
      <c r="X109" s="255">
        <f>'Pseudo-load coefficients'!X297</f>
        <v>1.3899690305631009E-2</v>
      </c>
      <c r="Y109" s="255">
        <f>'Pseudo-load coefficients'!Y297</f>
        <v>1.3899690305631009E-2</v>
      </c>
    </row>
    <row r="110" spans="3:25" x14ac:dyDescent="0.25">
      <c r="C110" s="60"/>
      <c r="E110" s="60"/>
      <c r="F110" s="254" t="s">
        <v>195</v>
      </c>
      <c r="G110" s="89" t="s">
        <v>283</v>
      </c>
      <c r="J110" s="255">
        <f>'Pseudo-load coefficients'!J298</f>
        <v>2.5306573288918797E-2</v>
      </c>
      <c r="K110" s="255">
        <f>'Pseudo-load coefficients'!K298</f>
        <v>2.5306573288918797E-2</v>
      </c>
      <c r="L110" s="255">
        <f>'Pseudo-load coefficients'!L298</f>
        <v>2.9067125019141455E-2</v>
      </c>
      <c r="M110" s="255">
        <f>'Pseudo-load coefficients'!M298</f>
        <v>2.9067125019141455E-2</v>
      </c>
      <c r="N110" s="255">
        <f>'Pseudo-load coefficients'!N298</f>
        <v>2.5447939756699491E-2</v>
      </c>
      <c r="O110" s="255">
        <f>'Pseudo-load coefficients'!O298</f>
        <v>2.1550126387532207E-2</v>
      </c>
      <c r="P110" s="255">
        <f>'Pseudo-load coefficients'!P298</f>
        <v>2.1230707387708526E-2</v>
      </c>
      <c r="Q110" s="255">
        <f>'Pseudo-load coefficients'!Q298</f>
        <v>2.0439657636968457E-2</v>
      </c>
      <c r="R110" s="255">
        <f>'Pseudo-load coefficients'!R298</f>
        <v>1.8687079085368818E-2</v>
      </c>
      <c r="S110" s="255">
        <f>'Pseudo-load coefficients'!S298</f>
        <v>1.8687079085368818E-2</v>
      </c>
      <c r="T110" s="255">
        <f>'Pseudo-load coefficients'!T298</f>
        <v>1.8687079085368818E-2</v>
      </c>
      <c r="U110" s="255">
        <f>'Pseudo-load coefficients'!U298</f>
        <v>1.8687079085368818E-2</v>
      </c>
      <c r="V110" s="255">
        <f>'Pseudo-load coefficients'!V298</f>
        <v>1.8687079085368818E-2</v>
      </c>
      <c r="W110" s="255">
        <f>'Pseudo-load coefficients'!W298</f>
        <v>1.8687079085368818E-2</v>
      </c>
      <c r="X110" s="255">
        <f>'Pseudo-load coefficients'!X298</f>
        <v>1.8687079085368818E-2</v>
      </c>
      <c r="Y110" s="255">
        <f>'Pseudo-load coefficients'!Y298</f>
        <v>1.8687079085368818E-2</v>
      </c>
    </row>
    <row r="111" spans="3:25" x14ac:dyDescent="0.25">
      <c r="C111" s="60"/>
      <c r="E111" s="60"/>
      <c r="F111" s="254" t="s">
        <v>196</v>
      </c>
      <c r="G111" s="89" t="s">
        <v>283</v>
      </c>
      <c r="J111" s="255">
        <f>'Pseudo-load coefficients'!J299</f>
        <v>0</v>
      </c>
      <c r="K111" s="255">
        <f>'Pseudo-load coefficients'!K299</f>
        <v>0</v>
      </c>
      <c r="L111" s="255">
        <f>'Pseudo-load coefficients'!L299</f>
        <v>0</v>
      </c>
      <c r="M111" s="255">
        <f>'Pseudo-load coefficients'!M299</f>
        <v>0</v>
      </c>
      <c r="N111" s="255">
        <f>'Pseudo-load coefficients'!N299</f>
        <v>0</v>
      </c>
      <c r="O111" s="255">
        <f>'Pseudo-load coefficients'!O299</f>
        <v>0</v>
      </c>
      <c r="P111" s="255">
        <f>'Pseudo-load coefficients'!P299</f>
        <v>0</v>
      </c>
      <c r="Q111" s="255">
        <f>'Pseudo-load coefficients'!Q299</f>
        <v>0</v>
      </c>
      <c r="R111" s="255">
        <f>'Pseudo-load coefficients'!R299</f>
        <v>0</v>
      </c>
      <c r="S111" s="255">
        <f>'Pseudo-load coefficients'!S299</f>
        <v>0</v>
      </c>
      <c r="T111" s="255">
        <f>'Pseudo-load coefficients'!T299</f>
        <v>0</v>
      </c>
      <c r="U111" s="255">
        <f>'Pseudo-load coefficients'!U299</f>
        <v>0</v>
      </c>
      <c r="V111" s="255">
        <f>'Pseudo-load coefficients'!V299</f>
        <v>0</v>
      </c>
      <c r="W111" s="255">
        <f>'Pseudo-load coefficients'!W299</f>
        <v>0</v>
      </c>
      <c r="X111" s="255">
        <f>'Pseudo-load coefficients'!X299</f>
        <v>0</v>
      </c>
      <c r="Y111" s="255">
        <f>'Pseudo-load coefficients'!Y299</f>
        <v>0</v>
      </c>
    </row>
    <row r="112" spans="3:25" x14ac:dyDescent="0.25">
      <c r="C112" s="60"/>
      <c r="E112" s="60"/>
      <c r="F112" s="254" t="s">
        <v>197</v>
      </c>
      <c r="G112" s="89" t="s">
        <v>283</v>
      </c>
      <c r="J112" s="255">
        <f>'Pseudo-load coefficients'!J300</f>
        <v>2.5306573288918797E-2</v>
      </c>
      <c r="K112" s="255">
        <f>'Pseudo-load coefficients'!K300</f>
        <v>2.5306573288918797E-2</v>
      </c>
      <c r="L112" s="255">
        <f>'Pseudo-load coefficients'!L300</f>
        <v>2.9067125019141455E-2</v>
      </c>
      <c r="M112" s="255">
        <f>'Pseudo-load coefficients'!M300</f>
        <v>2.9067125019141455E-2</v>
      </c>
      <c r="N112" s="255">
        <f>'Pseudo-load coefficients'!N300</f>
        <v>2.5447939756699491E-2</v>
      </c>
      <c r="O112" s="255">
        <f>'Pseudo-load coefficients'!O300</f>
        <v>2.1550126387532207E-2</v>
      </c>
      <c r="P112" s="255">
        <f>'Pseudo-load coefficients'!P300</f>
        <v>2.1230707387708526E-2</v>
      </c>
      <c r="Q112" s="255">
        <f>'Pseudo-load coefficients'!Q300</f>
        <v>2.0439657636968457E-2</v>
      </c>
      <c r="R112" s="255">
        <f>'Pseudo-load coefficients'!R300</f>
        <v>1.8687079085368818E-2</v>
      </c>
      <c r="S112" s="255">
        <f>'Pseudo-load coefficients'!S300</f>
        <v>1.8687079085368818E-2</v>
      </c>
      <c r="T112" s="255">
        <f>'Pseudo-load coefficients'!T300</f>
        <v>1.8687079085368818E-2</v>
      </c>
      <c r="U112" s="255">
        <f>'Pseudo-load coefficients'!U300</f>
        <v>1.8687079085368818E-2</v>
      </c>
      <c r="V112" s="255">
        <f>'Pseudo-load coefficients'!V300</f>
        <v>1.8687079085368818E-2</v>
      </c>
      <c r="W112" s="255">
        <f>'Pseudo-load coefficients'!W300</f>
        <v>1.8687079085368818E-2</v>
      </c>
      <c r="X112" s="255">
        <f>'Pseudo-load coefficients'!X300</f>
        <v>1.8687079085368818E-2</v>
      </c>
      <c r="Y112" s="255">
        <f>'Pseudo-load coefficients'!Y300</f>
        <v>1.8687079085368818E-2</v>
      </c>
    </row>
    <row r="113" spans="2:27" x14ac:dyDescent="0.25">
      <c r="C113" s="60"/>
      <c r="E113" s="60"/>
      <c r="F113" s="254" t="s">
        <v>198</v>
      </c>
      <c r="G113" s="89" t="s">
        <v>283</v>
      </c>
      <c r="J113" s="255">
        <f>'Pseudo-load coefficients'!J301</f>
        <v>2.5306573288918797E-2</v>
      </c>
      <c r="K113" s="255">
        <f>'Pseudo-load coefficients'!K301</f>
        <v>2.5306573288918797E-2</v>
      </c>
      <c r="L113" s="255">
        <f>'Pseudo-load coefficients'!L301</f>
        <v>2.9067125019141455E-2</v>
      </c>
      <c r="M113" s="255">
        <f>'Pseudo-load coefficients'!M301</f>
        <v>2.9067125019141455E-2</v>
      </c>
      <c r="N113" s="255">
        <f>'Pseudo-load coefficients'!N301</f>
        <v>2.5447939756699491E-2</v>
      </c>
      <c r="O113" s="255">
        <f>'Pseudo-load coefficients'!O301</f>
        <v>2.1550126387532207E-2</v>
      </c>
      <c r="P113" s="255">
        <f>'Pseudo-load coefficients'!P301</f>
        <v>2.1230707387708526E-2</v>
      </c>
      <c r="Q113" s="255">
        <f>'Pseudo-load coefficients'!Q301</f>
        <v>2.0439657636968457E-2</v>
      </c>
      <c r="R113" s="255">
        <f>'Pseudo-load coefficients'!R301</f>
        <v>1.8687079085368818E-2</v>
      </c>
      <c r="S113" s="255">
        <f>'Pseudo-load coefficients'!S301</f>
        <v>1.8687079085368818E-2</v>
      </c>
      <c r="T113" s="255">
        <f>'Pseudo-load coefficients'!T301</f>
        <v>1.8687079085368818E-2</v>
      </c>
      <c r="U113" s="255">
        <f>'Pseudo-load coefficients'!U301</f>
        <v>1.8687079085368818E-2</v>
      </c>
      <c r="V113" s="255">
        <f>'Pseudo-load coefficients'!V301</f>
        <v>1.8687079085368818E-2</v>
      </c>
      <c r="W113" s="255">
        <f>'Pseudo-load coefficients'!W301</f>
        <v>1.8687079085368818E-2</v>
      </c>
      <c r="X113" s="255">
        <f>'Pseudo-load coefficients'!X301</f>
        <v>1.8687079085368818E-2</v>
      </c>
      <c r="Y113" s="255">
        <f>'Pseudo-load coefficients'!Y301</f>
        <v>1.8687079085368818E-2</v>
      </c>
    </row>
    <row r="114" spans="2:27" x14ac:dyDescent="0.25">
      <c r="C114" s="60"/>
      <c r="E114" s="60"/>
      <c r="F114" s="256" t="s">
        <v>199</v>
      </c>
      <c r="G114" s="96" t="s">
        <v>283</v>
      </c>
      <c r="H114" s="91"/>
      <c r="I114" s="91"/>
      <c r="J114" s="257">
        <f>'Pseudo-load coefficients'!J302</f>
        <v>2.5306573288918797E-2</v>
      </c>
      <c r="K114" s="257">
        <f>'Pseudo-load coefficients'!K302</f>
        <v>2.5306573288918797E-2</v>
      </c>
      <c r="L114" s="257">
        <f>'Pseudo-load coefficients'!L302</f>
        <v>2.9067125019141455E-2</v>
      </c>
      <c r="M114" s="257">
        <f>'Pseudo-load coefficients'!M302</f>
        <v>2.9067125019141455E-2</v>
      </c>
      <c r="N114" s="257">
        <f>'Pseudo-load coefficients'!N302</f>
        <v>2.5447939756699491E-2</v>
      </c>
      <c r="O114" s="257">
        <f>'Pseudo-load coefficients'!O302</f>
        <v>2.1550126387532207E-2</v>
      </c>
      <c r="P114" s="257">
        <f>'Pseudo-load coefficients'!P302</f>
        <v>2.1230707387708526E-2</v>
      </c>
      <c r="Q114" s="257">
        <f>'Pseudo-load coefficients'!Q302</f>
        <v>2.0439657636968457E-2</v>
      </c>
      <c r="R114" s="257">
        <f>'Pseudo-load coefficients'!R302</f>
        <v>1.8687079085368818E-2</v>
      </c>
      <c r="S114" s="257">
        <f>'Pseudo-load coefficients'!S302</f>
        <v>1.8687079085368818E-2</v>
      </c>
      <c r="T114" s="257">
        <f>'Pseudo-load coefficients'!T302</f>
        <v>1.8687079085368818E-2</v>
      </c>
      <c r="U114" s="257">
        <f>'Pseudo-load coefficients'!U302</f>
        <v>1.8687079085368818E-2</v>
      </c>
      <c r="V114" s="257">
        <f>'Pseudo-load coefficients'!V302</f>
        <v>1.8687079085368818E-2</v>
      </c>
      <c r="W114" s="257">
        <f>'Pseudo-load coefficients'!W302</f>
        <v>1.8687079085368818E-2</v>
      </c>
      <c r="X114" s="257">
        <f>'Pseudo-load coefficients'!X302</f>
        <v>1.8687079085368818E-2</v>
      </c>
      <c r="Y114" s="257">
        <f>'Pseudo-load coefficients'!Y302</f>
        <v>1.8687079085368818E-2</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617</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618</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154</v>
      </c>
      <c r="J121" s="259"/>
      <c r="K121" s="259"/>
      <c r="L121" s="259"/>
      <c r="M121" s="259"/>
      <c r="N121" s="259"/>
      <c r="O121" s="259"/>
      <c r="P121" s="259"/>
      <c r="Q121" s="259"/>
      <c r="R121" s="259"/>
      <c r="S121" s="259"/>
      <c r="T121" s="259"/>
      <c r="U121" s="259"/>
      <c r="V121" s="259"/>
      <c r="W121" s="259"/>
      <c r="X121" s="259"/>
      <c r="Y121" s="259"/>
      <c r="AA121" t="s">
        <v>613</v>
      </c>
    </row>
    <row r="122" spans="2:27" x14ac:dyDescent="0.25">
      <c r="E122" s="60" t="s">
        <v>619</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189</v>
      </c>
      <c r="G123" s="90" t="s">
        <v>269</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191</v>
      </c>
      <c r="G124" t="s">
        <v>269</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192</v>
      </c>
      <c r="G125" t="s">
        <v>269</v>
      </c>
      <c r="H125" s="266"/>
      <c r="I125" s="266"/>
      <c r="J125" s="267">
        <f t="shared" ref="J125:Y125" si="2">hundred * $H20 * J57 / $H45 * J$78 * (1 - J69) / hours_in_year</f>
        <v>0</v>
      </c>
      <c r="K125" s="267">
        <f t="shared" si="2"/>
        <v>0</v>
      </c>
      <c r="L125" s="267">
        <f t="shared" si="2"/>
        <v>0</v>
      </c>
      <c r="M125" s="267">
        <f t="shared" si="2"/>
        <v>0</v>
      </c>
      <c r="N125" s="267">
        <f t="shared" si="2"/>
        <v>0</v>
      </c>
      <c r="O125" s="267">
        <f t="shared" si="2"/>
        <v>0</v>
      </c>
      <c r="P125" s="267">
        <f t="shared" si="2"/>
        <v>0</v>
      </c>
      <c r="Q125" s="267">
        <f t="shared" si="2"/>
        <v>0</v>
      </c>
      <c r="R125" s="267">
        <f t="shared" si="2"/>
        <v>0</v>
      </c>
      <c r="S125" s="267">
        <f t="shared" si="2"/>
        <v>0</v>
      </c>
      <c r="T125" s="267">
        <f t="shared" si="2"/>
        <v>0</v>
      </c>
      <c r="U125" s="267">
        <f t="shared" si="2"/>
        <v>0</v>
      </c>
      <c r="V125" s="267">
        <f t="shared" si="2"/>
        <v>0</v>
      </c>
      <c r="W125" s="267">
        <f t="shared" si="2"/>
        <v>0</v>
      </c>
      <c r="X125" s="267">
        <f t="shared" si="2"/>
        <v>0</v>
      </c>
      <c r="Y125" s="267">
        <f t="shared" si="2"/>
        <v>0</v>
      </c>
      <c r="Z125" s="266"/>
      <c r="AA125" s="266"/>
    </row>
    <row r="126" spans="2:27" x14ac:dyDescent="0.25">
      <c r="E126" s="60"/>
      <c r="F126" s="254" t="s">
        <v>193</v>
      </c>
      <c r="G126" t="s">
        <v>269</v>
      </c>
      <c r="H126" s="266"/>
      <c r="I126" s="266"/>
      <c r="J126" s="267">
        <f t="shared" ref="J126:Y126" si="3">hundred * $H21 * J58 / $H46 * J$78 * (1 - J70) / hours_in_year</f>
        <v>0</v>
      </c>
      <c r="K126" s="267">
        <f t="shared" si="3"/>
        <v>0</v>
      </c>
      <c r="L126" s="267">
        <f t="shared" si="3"/>
        <v>0</v>
      </c>
      <c r="M126" s="267">
        <f t="shared" si="3"/>
        <v>0</v>
      </c>
      <c r="N126" s="267">
        <f t="shared" si="3"/>
        <v>0</v>
      </c>
      <c r="O126" s="267">
        <f t="shared" si="3"/>
        <v>0</v>
      </c>
      <c r="P126" s="267">
        <f t="shared" si="3"/>
        <v>0</v>
      </c>
      <c r="Q126" s="267">
        <f t="shared" si="3"/>
        <v>0</v>
      </c>
      <c r="R126" s="267">
        <f t="shared" si="3"/>
        <v>0</v>
      </c>
      <c r="S126" s="267">
        <f t="shared" si="3"/>
        <v>0</v>
      </c>
      <c r="T126" s="267">
        <f t="shared" si="3"/>
        <v>0</v>
      </c>
      <c r="U126" s="267">
        <f t="shared" si="3"/>
        <v>0</v>
      </c>
      <c r="V126" s="267">
        <f t="shared" si="3"/>
        <v>0</v>
      </c>
      <c r="W126" s="267">
        <f t="shared" si="3"/>
        <v>0</v>
      </c>
      <c r="X126" s="267">
        <f t="shared" si="3"/>
        <v>0</v>
      </c>
      <c r="Y126" s="267">
        <f t="shared" si="3"/>
        <v>0</v>
      </c>
      <c r="Z126" s="266"/>
      <c r="AA126" s="266"/>
    </row>
    <row r="127" spans="2:27" x14ac:dyDescent="0.25">
      <c r="E127" s="60"/>
      <c r="F127" s="254" t="s">
        <v>194</v>
      </c>
      <c r="G127" t="s">
        <v>269</v>
      </c>
      <c r="H127" s="266"/>
      <c r="I127" s="266"/>
      <c r="J127" s="267">
        <f t="shared" ref="J127:Y127" si="4">hundred * $H22 * J59 / $H47 * J$78 * (1 - J71) / hours_in_year</f>
        <v>0.41627758271254839</v>
      </c>
      <c r="K127" s="267">
        <f t="shared" si="4"/>
        <v>0.41627758271254839</v>
      </c>
      <c r="L127" s="267">
        <f t="shared" si="4"/>
        <v>0.36102917813021251</v>
      </c>
      <c r="M127" s="267">
        <f t="shared" si="4"/>
        <v>0.36102917813021251</v>
      </c>
      <c r="N127" s="267">
        <f t="shared" si="4"/>
        <v>0.33448870783865647</v>
      </c>
      <c r="O127" s="267">
        <f t="shared" si="4"/>
        <v>0.25906879621917817</v>
      </c>
      <c r="P127" s="267">
        <f t="shared" si="4"/>
        <v>0.24054893486131457</v>
      </c>
      <c r="Q127" s="267">
        <f t="shared" si="4"/>
        <v>0.4113547156500692</v>
      </c>
      <c r="R127" s="267">
        <f t="shared" si="4"/>
        <v>-0.22131276475481138</v>
      </c>
      <c r="S127" s="267">
        <f t="shared" si="4"/>
        <v>-0.20834132227594507</v>
      </c>
      <c r="T127" s="267">
        <f t="shared" si="4"/>
        <v>-0.22131276475481138</v>
      </c>
      <c r="U127" s="267">
        <f t="shared" si="4"/>
        <v>-0.22131276475481138</v>
      </c>
      <c r="V127" s="267">
        <f t="shared" si="4"/>
        <v>-0.20834132227594507</v>
      </c>
      <c r="W127" s="267">
        <f t="shared" si="4"/>
        <v>-0.20834132227594507</v>
      </c>
      <c r="X127" s="267">
        <f t="shared" si="4"/>
        <v>-0.20454966985904569</v>
      </c>
      <c r="Y127" s="267">
        <f t="shared" si="4"/>
        <v>-0.20454966985904569</v>
      </c>
      <c r="Z127" s="266"/>
      <c r="AA127" s="266"/>
    </row>
    <row r="128" spans="2:27" x14ac:dyDescent="0.25">
      <c r="E128" s="60"/>
      <c r="F128" s="254" t="s">
        <v>195</v>
      </c>
      <c r="G128" t="s">
        <v>269</v>
      </c>
      <c r="H128" s="266"/>
      <c r="I128" s="266"/>
      <c r="J128" s="267">
        <f t="shared" ref="J128:Y128" si="5">hundred * $H23 * J60 / $H48 * J$78 * (1 - J72) / hours_in_year</f>
        <v>0.10666901308367545</v>
      </c>
      <c r="K128" s="267">
        <f t="shared" si="5"/>
        <v>0.10666901308367545</v>
      </c>
      <c r="L128" s="267">
        <f t="shared" si="5"/>
        <v>9.2511890442471711E-2</v>
      </c>
      <c r="M128" s="267">
        <f t="shared" si="5"/>
        <v>9.2511890442471711E-2</v>
      </c>
      <c r="N128" s="267">
        <f t="shared" si="5"/>
        <v>8.5711029934131988E-2</v>
      </c>
      <c r="O128" s="267">
        <f t="shared" si="5"/>
        <v>6.638506122141595E-2</v>
      </c>
      <c r="P128" s="267">
        <f t="shared" si="5"/>
        <v>6.1639440953764044E-2</v>
      </c>
      <c r="Q128" s="267">
        <f t="shared" si="5"/>
        <v>0.1054075534401486</v>
      </c>
      <c r="R128" s="267">
        <f t="shared" si="5"/>
        <v>-5.6710270212933421E-2</v>
      </c>
      <c r="S128" s="267">
        <f t="shared" si="5"/>
        <v>-5.3386404059785841E-2</v>
      </c>
      <c r="T128" s="267">
        <f t="shared" si="5"/>
        <v>-5.6710270212933421E-2</v>
      </c>
      <c r="U128" s="267">
        <f t="shared" si="5"/>
        <v>-5.6710270212933421E-2</v>
      </c>
      <c r="V128" s="267">
        <f t="shared" si="5"/>
        <v>-5.3386404059785841E-2</v>
      </c>
      <c r="W128" s="267">
        <f t="shared" si="5"/>
        <v>-5.3386404059785841E-2</v>
      </c>
      <c r="X128" s="267">
        <f t="shared" si="5"/>
        <v>-5.2414812415019621E-2</v>
      </c>
      <c r="Y128" s="267">
        <f t="shared" si="5"/>
        <v>-5.2414812415019621E-2</v>
      </c>
      <c r="Z128" s="266"/>
      <c r="AA128" s="266"/>
    </row>
    <row r="129" spans="4:27" x14ac:dyDescent="0.25">
      <c r="E129" s="60"/>
      <c r="F129" s="254" t="s">
        <v>196</v>
      </c>
      <c r="G129" t="s">
        <v>269</v>
      </c>
      <c r="H129" s="266"/>
      <c r="I129" s="266"/>
      <c r="J129" s="267">
        <f t="shared" ref="J129:Y129" si="6">hundred * $H24 * J61 / $H49 * J$78 * (1 - J73) / hours_in_year</f>
        <v>0</v>
      </c>
      <c r="K129" s="267">
        <f t="shared" si="6"/>
        <v>0</v>
      </c>
      <c r="L129" s="267">
        <f t="shared" si="6"/>
        <v>0</v>
      </c>
      <c r="M129" s="267">
        <f t="shared" si="6"/>
        <v>0</v>
      </c>
      <c r="N129" s="267">
        <f t="shared" si="6"/>
        <v>0</v>
      </c>
      <c r="O129" s="267">
        <f t="shared" si="6"/>
        <v>0</v>
      </c>
      <c r="P129" s="267">
        <f t="shared" si="6"/>
        <v>0</v>
      </c>
      <c r="Q129" s="267">
        <f t="shared" si="6"/>
        <v>0</v>
      </c>
      <c r="R129" s="267">
        <f t="shared" si="6"/>
        <v>0</v>
      </c>
      <c r="S129" s="267">
        <f t="shared" si="6"/>
        <v>0</v>
      </c>
      <c r="T129" s="267">
        <f t="shared" si="6"/>
        <v>0</v>
      </c>
      <c r="U129" s="267">
        <f t="shared" si="6"/>
        <v>0</v>
      </c>
      <c r="V129" s="267">
        <f t="shared" si="6"/>
        <v>0</v>
      </c>
      <c r="W129" s="267">
        <f t="shared" si="6"/>
        <v>0</v>
      </c>
      <c r="X129" s="267">
        <f t="shared" si="6"/>
        <v>0</v>
      </c>
      <c r="Y129" s="267">
        <f t="shared" si="6"/>
        <v>0</v>
      </c>
      <c r="Z129" s="266"/>
      <c r="AA129" s="266"/>
    </row>
    <row r="130" spans="4:27" x14ac:dyDescent="0.25">
      <c r="E130" s="60"/>
      <c r="F130" s="254" t="s">
        <v>197</v>
      </c>
      <c r="G130" t="s">
        <v>269</v>
      </c>
      <c r="H130" s="266"/>
      <c r="I130" s="266"/>
      <c r="J130" s="267">
        <f t="shared" ref="J130:Y130" si="7">hundred * $H25 * J62 / $H50 * J$78 * (1 - J74) / hours_in_year</f>
        <v>0.45889308257305383</v>
      </c>
      <c r="K130" s="267">
        <f t="shared" si="7"/>
        <v>0.45889308257305383</v>
      </c>
      <c r="L130" s="267">
        <f t="shared" si="7"/>
        <v>0.39798874436481935</v>
      </c>
      <c r="M130" s="267">
        <f t="shared" si="7"/>
        <v>0.39798874436481935</v>
      </c>
      <c r="N130" s="267">
        <f t="shared" si="7"/>
        <v>0.36873125193472417</v>
      </c>
      <c r="O130" s="267">
        <f t="shared" si="7"/>
        <v>0.28559039312381712</v>
      </c>
      <c r="P130" s="267">
        <f t="shared" si="7"/>
        <v>0.26517460178584307</v>
      </c>
      <c r="Q130" s="267">
        <f t="shared" si="7"/>
        <v>0.45346624784734535</v>
      </c>
      <c r="R130" s="267">
        <f t="shared" si="7"/>
        <v>-0.24396917117016562</v>
      </c>
      <c r="S130" s="267">
        <f t="shared" si="7"/>
        <v>-0.22966980586262667</v>
      </c>
      <c r="T130" s="267">
        <f t="shared" si="7"/>
        <v>-0.24396917117016562</v>
      </c>
      <c r="U130" s="267">
        <f t="shared" si="7"/>
        <v>-0.24396917117016562</v>
      </c>
      <c r="V130" s="267">
        <f t="shared" si="7"/>
        <v>-0.22966980586262667</v>
      </c>
      <c r="W130" s="267">
        <f t="shared" si="7"/>
        <v>-0.22966980586262667</v>
      </c>
      <c r="X130" s="267">
        <f t="shared" si="7"/>
        <v>0</v>
      </c>
      <c r="Y130" s="267">
        <f t="shared" si="7"/>
        <v>0</v>
      </c>
      <c r="Z130" s="266"/>
      <c r="AA130" s="266"/>
    </row>
    <row r="131" spans="4:27" x14ac:dyDescent="0.25">
      <c r="E131" s="60"/>
      <c r="F131" s="254" t="s">
        <v>198</v>
      </c>
      <c r="G131" t="s">
        <v>269</v>
      </c>
      <c r="H131" s="266"/>
      <c r="I131" s="266"/>
      <c r="J131" s="267">
        <f t="shared" ref="J131:Y131" si="8">hundred * $H26 * J63 / $H51 * J$78 * (1 - J75) / hours_in_year</f>
        <v>0.11533282540347368</v>
      </c>
      <c r="K131" s="267">
        <f t="shared" si="8"/>
        <v>0.11533282540347368</v>
      </c>
      <c r="L131" s="267">
        <f t="shared" si="8"/>
        <v>0.10002584067949676</v>
      </c>
      <c r="M131" s="267">
        <f t="shared" si="8"/>
        <v>0.10002584067949676</v>
      </c>
      <c r="N131" s="267">
        <f t="shared" si="8"/>
        <v>9.2672604393468333E-2</v>
      </c>
      <c r="O131" s="267">
        <f t="shared" si="8"/>
        <v>7.177695240549857E-2</v>
      </c>
      <c r="P131" s="267">
        <f t="shared" si="8"/>
        <v>0</v>
      </c>
      <c r="Q131" s="267">
        <f t="shared" si="8"/>
        <v>0.11396890817376909</v>
      </c>
      <c r="R131" s="267">
        <f t="shared" si="8"/>
        <v>-6.1316360805938934E-2</v>
      </c>
      <c r="S131" s="267">
        <f t="shared" si="8"/>
        <v>0</v>
      </c>
      <c r="T131" s="267">
        <f t="shared" si="8"/>
        <v>-6.1316360805938934E-2</v>
      </c>
      <c r="U131" s="267">
        <f t="shared" si="8"/>
        <v>-6.1316360805938934E-2</v>
      </c>
      <c r="V131" s="267">
        <f t="shared" si="8"/>
        <v>0</v>
      </c>
      <c r="W131" s="267">
        <f t="shared" si="8"/>
        <v>0</v>
      </c>
      <c r="X131" s="267">
        <f t="shared" si="8"/>
        <v>0</v>
      </c>
      <c r="Y131" s="267">
        <f t="shared" si="8"/>
        <v>0</v>
      </c>
      <c r="Z131" s="266"/>
      <c r="AA131" s="266"/>
    </row>
    <row r="132" spans="4:27" x14ac:dyDescent="0.25">
      <c r="E132" s="60"/>
      <c r="F132" s="256" t="s">
        <v>199</v>
      </c>
      <c r="G132" s="91" t="s">
        <v>269</v>
      </c>
      <c r="H132" s="268"/>
      <c r="I132" s="268"/>
      <c r="J132" s="269">
        <f t="shared" ref="J132:Y132" si="9">hundred * $H27 * J64 / $H52 * J$78 * (1 - J76) / hours_in_year</f>
        <v>0.19399345868504206</v>
      </c>
      <c r="K132" s="269">
        <f t="shared" si="9"/>
        <v>0.19399345868504206</v>
      </c>
      <c r="L132" s="269">
        <f t="shared" si="9"/>
        <v>0.16824662643450783</v>
      </c>
      <c r="M132" s="269">
        <f t="shared" si="9"/>
        <v>0.16824662643450783</v>
      </c>
      <c r="N132" s="269">
        <f t="shared" si="9"/>
        <v>0.15587825052188545</v>
      </c>
      <c r="O132" s="269">
        <f t="shared" si="9"/>
        <v>0</v>
      </c>
      <c r="P132" s="269">
        <f t="shared" si="9"/>
        <v>0</v>
      </c>
      <c r="Q132" s="269">
        <f t="shared" si="9"/>
        <v>0.19169930678314517</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620</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189</v>
      </c>
      <c r="G135" s="90" t="s">
        <v>269</v>
      </c>
      <c r="H135" s="264"/>
      <c r="I135" s="264"/>
      <c r="J135" s="265">
        <f t="shared" ref="J135:Y135" si="10">hundred * $H30 * J55 / $H43 * J$78 / hours_in_year</f>
        <v>0.25348875915619978</v>
      </c>
      <c r="K135" s="265">
        <f t="shared" si="10"/>
        <v>0.25348875915619978</v>
      </c>
      <c r="L135" s="265">
        <f t="shared" si="10"/>
        <v>0.21984570436646644</v>
      </c>
      <c r="M135" s="265">
        <f t="shared" si="10"/>
        <v>0.21984570436646644</v>
      </c>
      <c r="N135" s="265">
        <f t="shared" si="10"/>
        <v>0.20368410652641605</v>
      </c>
      <c r="O135" s="265">
        <f t="shared" si="10"/>
        <v>0.15775778090610657</v>
      </c>
      <c r="P135" s="265">
        <f t="shared" si="10"/>
        <v>0.14648026592497571</v>
      </c>
      <c r="Q135" s="265">
        <f t="shared" si="10"/>
        <v>0.25049102035165677</v>
      </c>
      <c r="R135" s="265">
        <f t="shared" si="10"/>
        <v>-0.13476656071067836</v>
      </c>
      <c r="S135" s="265">
        <f t="shared" si="10"/>
        <v>-0.12686770909102635</v>
      </c>
      <c r="T135" s="265">
        <f t="shared" si="10"/>
        <v>-0.13476656071067836</v>
      </c>
      <c r="U135" s="265">
        <f t="shared" si="10"/>
        <v>-0.13476656071067836</v>
      </c>
      <c r="V135" s="265">
        <f t="shared" si="10"/>
        <v>-0.12686770909102635</v>
      </c>
      <c r="W135" s="265">
        <f t="shared" si="10"/>
        <v>-0.12686770909102635</v>
      </c>
      <c r="X135" s="265">
        <f t="shared" si="10"/>
        <v>-0.12455881400220498</v>
      </c>
      <c r="Y135" s="265">
        <f t="shared" si="10"/>
        <v>-0.12455881400220498</v>
      </c>
      <c r="Z135" s="266"/>
      <c r="AA135" s="266"/>
    </row>
    <row r="136" spans="4:27" x14ac:dyDescent="0.25">
      <c r="D136" s="60"/>
      <c r="E136" s="60"/>
      <c r="F136" s="254" t="s">
        <v>191</v>
      </c>
      <c r="G136" t="s">
        <v>269</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192</v>
      </c>
      <c r="G137" t="s">
        <v>269</v>
      </c>
      <c r="H137" s="266"/>
      <c r="I137" s="266"/>
      <c r="J137" s="267">
        <f t="shared" ref="J137:Y137" si="12">hundred * $H32 * J57 / $H45 * J$78 / hours_in_year</f>
        <v>0</v>
      </c>
      <c r="K137" s="267">
        <f t="shared" si="12"/>
        <v>0</v>
      </c>
      <c r="L137" s="267">
        <f t="shared" si="12"/>
        <v>0</v>
      </c>
      <c r="M137" s="267">
        <f t="shared" si="12"/>
        <v>0</v>
      </c>
      <c r="N137" s="267">
        <f t="shared" si="12"/>
        <v>0</v>
      </c>
      <c r="O137" s="267">
        <f t="shared" si="12"/>
        <v>0</v>
      </c>
      <c r="P137" s="267">
        <f t="shared" si="12"/>
        <v>0</v>
      </c>
      <c r="Q137" s="267">
        <f t="shared" si="12"/>
        <v>0</v>
      </c>
      <c r="R137" s="267">
        <f t="shared" si="12"/>
        <v>0</v>
      </c>
      <c r="S137" s="267">
        <f t="shared" si="12"/>
        <v>0</v>
      </c>
      <c r="T137" s="267">
        <f t="shared" si="12"/>
        <v>0</v>
      </c>
      <c r="U137" s="267">
        <f t="shared" si="12"/>
        <v>0</v>
      </c>
      <c r="V137" s="267">
        <f t="shared" si="12"/>
        <v>0</v>
      </c>
      <c r="W137" s="267">
        <f t="shared" si="12"/>
        <v>0</v>
      </c>
      <c r="X137" s="267">
        <f t="shared" si="12"/>
        <v>0</v>
      </c>
      <c r="Y137" s="267">
        <f t="shared" si="12"/>
        <v>0</v>
      </c>
      <c r="Z137" s="266"/>
      <c r="AA137" s="266"/>
    </row>
    <row r="138" spans="4:27" x14ac:dyDescent="0.25">
      <c r="D138" s="60"/>
      <c r="E138" s="60"/>
      <c r="F138" s="254" t="s">
        <v>193</v>
      </c>
      <c r="G138" t="s">
        <v>269</v>
      </c>
      <c r="H138" s="266"/>
      <c r="I138" s="266"/>
      <c r="J138" s="267">
        <f t="shared" ref="J138:Y138" si="13">hundred * $H33 * J58 / $H46 * J$78 / hours_in_year</f>
        <v>0</v>
      </c>
      <c r="K138" s="267">
        <f t="shared" si="13"/>
        <v>0</v>
      </c>
      <c r="L138" s="267">
        <f t="shared" si="13"/>
        <v>0</v>
      </c>
      <c r="M138" s="267">
        <f t="shared" si="13"/>
        <v>0</v>
      </c>
      <c r="N138" s="267">
        <f t="shared" si="13"/>
        <v>0</v>
      </c>
      <c r="O138" s="267">
        <f t="shared" si="13"/>
        <v>0</v>
      </c>
      <c r="P138" s="267">
        <f t="shared" si="13"/>
        <v>0</v>
      </c>
      <c r="Q138" s="267">
        <f t="shared" si="13"/>
        <v>0</v>
      </c>
      <c r="R138" s="267">
        <f t="shared" si="13"/>
        <v>0</v>
      </c>
      <c r="S138" s="267">
        <f t="shared" si="13"/>
        <v>0</v>
      </c>
      <c r="T138" s="267">
        <f t="shared" si="13"/>
        <v>0</v>
      </c>
      <c r="U138" s="267">
        <f t="shared" si="13"/>
        <v>0</v>
      </c>
      <c r="V138" s="267">
        <f t="shared" si="13"/>
        <v>0</v>
      </c>
      <c r="W138" s="267">
        <f t="shared" si="13"/>
        <v>0</v>
      </c>
      <c r="X138" s="267">
        <f t="shared" si="13"/>
        <v>0</v>
      </c>
      <c r="Y138" s="267">
        <f t="shared" si="13"/>
        <v>0</v>
      </c>
      <c r="Z138" s="266"/>
      <c r="AA138" s="266"/>
    </row>
    <row r="139" spans="4:27" x14ac:dyDescent="0.25">
      <c r="D139" s="60"/>
      <c r="E139" s="60"/>
      <c r="F139" s="254" t="s">
        <v>194</v>
      </c>
      <c r="G139" t="s">
        <v>269</v>
      </c>
      <c r="H139" s="266"/>
      <c r="I139" s="266"/>
      <c r="J139" s="267">
        <f t="shared" ref="J139:Y139" si="14">hundred * $H34 * J59 / $H47 * J$78 / hours_in_year</f>
        <v>0.31199849261604751</v>
      </c>
      <c r="K139" s="267">
        <f t="shared" si="14"/>
        <v>0.31199849261604751</v>
      </c>
      <c r="L139" s="267">
        <f t="shared" si="14"/>
        <v>0.27059001984456688</v>
      </c>
      <c r="M139" s="267">
        <f t="shared" si="14"/>
        <v>0.27059001984456688</v>
      </c>
      <c r="N139" s="267">
        <f t="shared" si="14"/>
        <v>0.25069803654263528</v>
      </c>
      <c r="O139" s="267">
        <f t="shared" si="14"/>
        <v>0.19417109462762583</v>
      </c>
      <c r="P139" s="267">
        <f t="shared" si="14"/>
        <v>0.18029052774852578</v>
      </c>
      <c r="Q139" s="267">
        <f t="shared" si="14"/>
        <v>0.30830882214944616</v>
      </c>
      <c r="R139" s="267">
        <f t="shared" si="14"/>
        <v>-0.16587309013916218</v>
      </c>
      <c r="S139" s="267">
        <f t="shared" si="14"/>
        <v>-0.15615104247546016</v>
      </c>
      <c r="T139" s="267">
        <f t="shared" si="14"/>
        <v>-0.16587309013916218</v>
      </c>
      <c r="U139" s="267">
        <f t="shared" si="14"/>
        <v>-0.16587309013916218</v>
      </c>
      <c r="V139" s="267">
        <f t="shared" si="14"/>
        <v>-0.15615104247546016</v>
      </c>
      <c r="W139" s="267">
        <f t="shared" si="14"/>
        <v>-0.15615104247546016</v>
      </c>
      <c r="X139" s="267">
        <f t="shared" si="14"/>
        <v>-0.153309213158378</v>
      </c>
      <c r="Y139" s="267">
        <f t="shared" si="14"/>
        <v>-0.153309213158378</v>
      </c>
      <c r="Z139" s="266"/>
      <c r="AA139" s="266"/>
    </row>
    <row r="140" spans="4:27" x14ac:dyDescent="0.25">
      <c r="D140" s="60"/>
      <c r="E140" s="60"/>
      <c r="F140" s="254" t="s">
        <v>195</v>
      </c>
      <c r="G140" t="s">
        <v>269</v>
      </c>
      <c r="H140" s="266"/>
      <c r="I140" s="266"/>
      <c r="J140" s="267">
        <f t="shared" ref="J140:Y140" si="15">hundred * $H35 * J60 / $H48 * J$78 / hours_in_year</f>
        <v>7.9948026684707088E-2</v>
      </c>
      <c r="K140" s="267">
        <f t="shared" si="15"/>
        <v>7.9948026684707088E-2</v>
      </c>
      <c r="L140" s="267">
        <f t="shared" si="15"/>
        <v>6.9337316170213326E-2</v>
      </c>
      <c r="M140" s="267">
        <f t="shared" si="15"/>
        <v>6.9337316170213326E-2</v>
      </c>
      <c r="N140" s="267">
        <f t="shared" si="15"/>
        <v>6.4240096633990551E-2</v>
      </c>
      <c r="O140" s="267">
        <f t="shared" si="15"/>
        <v>4.9755355304847287E-2</v>
      </c>
      <c r="P140" s="267">
        <f t="shared" si="15"/>
        <v>4.619853064859869E-2</v>
      </c>
      <c r="Q140" s="267">
        <f t="shared" si="15"/>
        <v>7.9002567395951379E-2</v>
      </c>
      <c r="R140" s="267">
        <f t="shared" si="15"/>
        <v>-4.2504135598629735E-2</v>
      </c>
      <c r="S140" s="267">
        <f t="shared" si="15"/>
        <v>-4.0012910338114924E-2</v>
      </c>
      <c r="T140" s="267">
        <f t="shared" si="15"/>
        <v>-4.2504135598629735E-2</v>
      </c>
      <c r="U140" s="267">
        <f t="shared" si="15"/>
        <v>-4.2504135598629735E-2</v>
      </c>
      <c r="V140" s="267">
        <f t="shared" si="15"/>
        <v>-4.0012910338114924E-2</v>
      </c>
      <c r="W140" s="267">
        <f t="shared" si="15"/>
        <v>-4.0012910338114924E-2</v>
      </c>
      <c r="X140" s="267">
        <f t="shared" si="15"/>
        <v>-3.9284706031195202E-2</v>
      </c>
      <c r="Y140" s="267">
        <f t="shared" si="15"/>
        <v>-3.9284706031195202E-2</v>
      </c>
      <c r="Z140" s="266"/>
      <c r="AA140" s="266"/>
    </row>
    <row r="141" spans="4:27" x14ac:dyDescent="0.25">
      <c r="D141" s="60"/>
      <c r="E141" s="60"/>
      <c r="F141" s="254" t="s">
        <v>196</v>
      </c>
      <c r="G141" t="s">
        <v>269</v>
      </c>
      <c r="H141" s="266"/>
      <c r="I141" s="266"/>
      <c r="J141" s="267">
        <f t="shared" ref="J141:Y141" si="16">hundred * $H36 * J61 / $H49 * J$78 / hours_in_year</f>
        <v>0</v>
      </c>
      <c r="K141" s="267">
        <f t="shared" si="16"/>
        <v>0</v>
      </c>
      <c r="L141" s="267">
        <f t="shared" si="16"/>
        <v>0</v>
      </c>
      <c r="M141" s="267">
        <f t="shared" si="16"/>
        <v>0</v>
      </c>
      <c r="N141" s="267">
        <f t="shared" si="16"/>
        <v>0</v>
      </c>
      <c r="O141" s="267">
        <f t="shared" si="16"/>
        <v>0</v>
      </c>
      <c r="P141" s="267">
        <f t="shared" si="16"/>
        <v>0</v>
      </c>
      <c r="Q141" s="267">
        <f t="shared" si="16"/>
        <v>0</v>
      </c>
      <c r="R141" s="267">
        <f t="shared" si="16"/>
        <v>0</v>
      </c>
      <c r="S141" s="267">
        <f t="shared" si="16"/>
        <v>0</v>
      </c>
      <c r="T141" s="267">
        <f t="shared" si="16"/>
        <v>0</v>
      </c>
      <c r="U141" s="267">
        <f t="shared" si="16"/>
        <v>0</v>
      </c>
      <c r="V141" s="267">
        <f t="shared" si="16"/>
        <v>0</v>
      </c>
      <c r="W141" s="267">
        <f t="shared" si="16"/>
        <v>0</v>
      </c>
      <c r="X141" s="267">
        <f t="shared" si="16"/>
        <v>0</v>
      </c>
      <c r="Y141" s="267">
        <f t="shared" si="16"/>
        <v>0</v>
      </c>
      <c r="Z141" s="266"/>
      <c r="AA141" s="266"/>
    </row>
    <row r="142" spans="4:27" x14ac:dyDescent="0.25">
      <c r="D142" s="60"/>
      <c r="E142" s="60"/>
      <c r="F142" s="254" t="s">
        <v>197</v>
      </c>
      <c r="G142" t="s">
        <v>269</v>
      </c>
      <c r="H142" s="266"/>
      <c r="I142" s="266"/>
      <c r="J142" s="267">
        <f t="shared" ref="J142:Y142" si="17">hundred * $H37 * J62 / $H50 * J$78 / hours_in_year</f>
        <v>0.3439386505076108</v>
      </c>
      <c r="K142" s="267">
        <f t="shared" si="17"/>
        <v>0.3439386505076108</v>
      </c>
      <c r="L142" s="267">
        <f t="shared" si="17"/>
        <v>0.29829107661971166</v>
      </c>
      <c r="M142" s="267">
        <f t="shared" si="17"/>
        <v>0.29829107661971166</v>
      </c>
      <c r="N142" s="267">
        <f t="shared" si="17"/>
        <v>0.27636269537844155</v>
      </c>
      <c r="O142" s="267">
        <f t="shared" si="17"/>
        <v>0.21404893239659281</v>
      </c>
      <c r="P142" s="267">
        <f t="shared" si="17"/>
        <v>0.19874737308247978</v>
      </c>
      <c r="Q142" s="267">
        <f t="shared" si="17"/>
        <v>0.33987125816074343</v>
      </c>
      <c r="R142" s="267">
        <f t="shared" si="17"/>
        <v>-0.18285398208060563</v>
      </c>
      <c r="S142" s="267">
        <f t="shared" si="17"/>
        <v>-0.17213666121925364</v>
      </c>
      <c r="T142" s="267">
        <f t="shared" si="17"/>
        <v>-0.18285398208060563</v>
      </c>
      <c r="U142" s="267">
        <f t="shared" si="17"/>
        <v>-0.18285398208060563</v>
      </c>
      <c r="V142" s="267">
        <f t="shared" si="17"/>
        <v>-0.17213666121925364</v>
      </c>
      <c r="W142" s="267">
        <f t="shared" si="17"/>
        <v>-0.17213666121925364</v>
      </c>
      <c r="X142" s="267">
        <f t="shared" si="17"/>
        <v>0</v>
      </c>
      <c r="Y142" s="267">
        <f t="shared" si="17"/>
        <v>0</v>
      </c>
      <c r="Z142" s="266"/>
      <c r="AA142" s="266"/>
    </row>
    <row r="143" spans="4:27" x14ac:dyDescent="0.25">
      <c r="D143" s="60"/>
      <c r="E143" s="60"/>
      <c r="F143" s="254" t="s">
        <v>198</v>
      </c>
      <c r="G143" t="s">
        <v>269</v>
      </c>
      <c r="H143" s="266"/>
      <c r="I143" s="266"/>
      <c r="J143" s="267">
        <f t="shared" ref="J143:Y143" si="18">hundred * $H38 * J63 / $H51 * J$78 / hours_in_year</f>
        <v>8.6441521641777513E-2</v>
      </c>
      <c r="K143" s="267">
        <f t="shared" si="18"/>
        <v>8.6441521641777513E-2</v>
      </c>
      <c r="L143" s="267">
        <f t="shared" si="18"/>
        <v>7.4968993793273445E-2</v>
      </c>
      <c r="M143" s="267">
        <f t="shared" si="18"/>
        <v>7.4968993793273445E-2</v>
      </c>
      <c r="N143" s="267">
        <f t="shared" si="18"/>
        <v>6.9457770675898187E-2</v>
      </c>
      <c r="O143" s="267">
        <f t="shared" si="18"/>
        <v>5.379655759784991E-2</v>
      </c>
      <c r="P143" s="267">
        <f t="shared" si="18"/>
        <v>0</v>
      </c>
      <c r="Q143" s="267">
        <f t="shared" si="18"/>
        <v>8.5419270775065018E-2</v>
      </c>
      <c r="R143" s="267">
        <f t="shared" si="18"/>
        <v>-4.5956383285152495E-2</v>
      </c>
      <c r="S143" s="267">
        <f t="shared" si="18"/>
        <v>0</v>
      </c>
      <c r="T143" s="267">
        <f t="shared" si="18"/>
        <v>-4.5956383285152495E-2</v>
      </c>
      <c r="U143" s="267">
        <f t="shared" si="18"/>
        <v>-4.5956383285152495E-2</v>
      </c>
      <c r="V143" s="267">
        <f t="shared" si="18"/>
        <v>0</v>
      </c>
      <c r="W143" s="267">
        <f t="shared" si="18"/>
        <v>0</v>
      </c>
      <c r="X143" s="267">
        <f t="shared" si="18"/>
        <v>0</v>
      </c>
      <c r="Y143" s="267">
        <f t="shared" si="18"/>
        <v>0</v>
      </c>
      <c r="Z143" s="266"/>
      <c r="AA143" s="266"/>
    </row>
    <row r="144" spans="4:27" x14ac:dyDescent="0.25">
      <c r="D144" s="60"/>
      <c r="E144" s="60"/>
      <c r="F144" s="256" t="s">
        <v>199</v>
      </c>
      <c r="G144" s="91" t="s">
        <v>269</v>
      </c>
      <c r="H144" s="268"/>
      <c r="I144" s="268"/>
      <c r="J144" s="269">
        <f t="shared" ref="J144:Y144" si="19">hundred * $H39 * J64 / $H52 * J$78 / hours_in_year</f>
        <v>0.14539737233196465</v>
      </c>
      <c r="K144" s="269">
        <f t="shared" si="19"/>
        <v>0.14539737233196465</v>
      </c>
      <c r="L144" s="269">
        <f t="shared" si="19"/>
        <v>0.12610021777595792</v>
      </c>
      <c r="M144" s="269">
        <f t="shared" si="19"/>
        <v>0.12610021777595792</v>
      </c>
      <c r="N144" s="269">
        <f t="shared" si="19"/>
        <v>0.11683016624999934</v>
      </c>
      <c r="O144" s="269">
        <f t="shared" si="19"/>
        <v>0</v>
      </c>
      <c r="P144" s="269">
        <f t="shared" si="19"/>
        <v>0</v>
      </c>
      <c r="Q144" s="269">
        <f t="shared" si="19"/>
        <v>0.14367791405472582</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621</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622</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154</v>
      </c>
      <c r="J150" s="259"/>
      <c r="K150" s="259"/>
      <c r="L150" s="259"/>
      <c r="M150" s="259"/>
      <c r="N150" s="259"/>
      <c r="O150" s="259"/>
      <c r="P150" s="259"/>
      <c r="Q150" s="259"/>
      <c r="R150" s="259"/>
      <c r="S150" s="259"/>
      <c r="T150" s="259"/>
      <c r="U150" s="259"/>
      <c r="V150" s="259"/>
      <c r="W150" s="259"/>
      <c r="X150" s="259"/>
      <c r="Y150" s="259"/>
      <c r="AA150" t="s">
        <v>623</v>
      </c>
    </row>
    <row r="151" spans="3:27" x14ac:dyDescent="0.25">
      <c r="E151" s="60" t="s">
        <v>619</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189</v>
      </c>
      <c r="G152" s="90" t="s">
        <v>269</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191</v>
      </c>
      <c r="G153" t="s">
        <v>269</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192</v>
      </c>
      <c r="G154" t="s">
        <v>269</v>
      </c>
      <c r="H154" s="266"/>
      <c r="I154" s="266"/>
      <c r="J154" s="267">
        <f t="shared" ref="J154:Y154" si="22">hundred * $H20 * J57 / $H45 * J83 * (1 - J69) / hours_in_year</f>
        <v>0</v>
      </c>
      <c r="K154" s="267">
        <f t="shared" si="22"/>
        <v>0</v>
      </c>
      <c r="L154" s="267">
        <f t="shared" si="22"/>
        <v>0</v>
      </c>
      <c r="M154" s="267">
        <f t="shared" si="22"/>
        <v>0</v>
      </c>
      <c r="N154" s="267">
        <f t="shared" si="22"/>
        <v>0</v>
      </c>
      <c r="O154" s="267">
        <f t="shared" si="22"/>
        <v>0</v>
      </c>
      <c r="P154" s="267">
        <f t="shared" si="22"/>
        <v>0</v>
      </c>
      <c r="Q154" s="267">
        <f t="shared" si="22"/>
        <v>0</v>
      </c>
      <c r="R154" s="267">
        <f t="shared" si="22"/>
        <v>0</v>
      </c>
      <c r="S154" s="267">
        <f t="shared" si="22"/>
        <v>0</v>
      </c>
      <c r="T154" s="267">
        <f t="shared" si="22"/>
        <v>0</v>
      </c>
      <c r="U154" s="267">
        <f t="shared" si="22"/>
        <v>0</v>
      </c>
      <c r="V154" s="267">
        <f t="shared" si="22"/>
        <v>0</v>
      </c>
      <c r="W154" s="267">
        <f t="shared" si="22"/>
        <v>0</v>
      </c>
      <c r="X154" s="267">
        <f t="shared" si="22"/>
        <v>0</v>
      </c>
      <c r="Y154" s="267">
        <f t="shared" si="22"/>
        <v>0</v>
      </c>
      <c r="Z154" s="266"/>
      <c r="AA154" s="266"/>
    </row>
    <row r="155" spans="3:27" x14ac:dyDescent="0.25">
      <c r="E155" s="60"/>
      <c r="F155" s="254" t="s">
        <v>193</v>
      </c>
      <c r="G155" t="s">
        <v>269</v>
      </c>
      <c r="H155" s="266"/>
      <c r="I155" s="266"/>
      <c r="J155" s="267">
        <f t="shared" ref="J155:Y155" si="23">hundred * $H21 * J58 / $H46 * J84 * (1 - J70) / hours_in_year</f>
        <v>0</v>
      </c>
      <c r="K155" s="267">
        <f t="shared" si="23"/>
        <v>0</v>
      </c>
      <c r="L155" s="267">
        <f t="shared" si="23"/>
        <v>0</v>
      </c>
      <c r="M155" s="267">
        <f t="shared" si="23"/>
        <v>0</v>
      </c>
      <c r="N155" s="267">
        <f t="shared" si="23"/>
        <v>0</v>
      </c>
      <c r="O155" s="267">
        <f t="shared" si="23"/>
        <v>0</v>
      </c>
      <c r="P155" s="267">
        <f t="shared" si="23"/>
        <v>0</v>
      </c>
      <c r="Q155" s="267">
        <f t="shared" si="23"/>
        <v>0</v>
      </c>
      <c r="R155" s="267">
        <f t="shared" si="23"/>
        <v>0</v>
      </c>
      <c r="S155" s="267">
        <f t="shared" si="23"/>
        <v>0</v>
      </c>
      <c r="T155" s="267">
        <f t="shared" si="23"/>
        <v>0</v>
      </c>
      <c r="U155" s="267">
        <f t="shared" si="23"/>
        <v>0</v>
      </c>
      <c r="V155" s="267">
        <f t="shared" si="23"/>
        <v>0</v>
      </c>
      <c r="W155" s="267">
        <f t="shared" si="23"/>
        <v>0</v>
      </c>
      <c r="X155" s="267">
        <f t="shared" si="23"/>
        <v>0</v>
      </c>
      <c r="Y155" s="267">
        <f t="shared" si="23"/>
        <v>0</v>
      </c>
      <c r="Z155" s="266"/>
      <c r="AA155" s="266"/>
    </row>
    <row r="156" spans="3:27" x14ac:dyDescent="0.25">
      <c r="E156" s="60"/>
      <c r="F156" s="254" t="s">
        <v>194</v>
      </c>
      <c r="G156" t="s">
        <v>269</v>
      </c>
      <c r="H156" s="266"/>
      <c r="I156" s="266"/>
      <c r="J156" s="267">
        <f t="shared" ref="J156:Y156" si="24">hundred * $H22 * J59 / $H47 * J85 * (1 - J71) / hours_in_year</f>
        <v>2.5263300972532501</v>
      </c>
      <c r="K156" s="267">
        <f t="shared" si="24"/>
        <v>2.5263300972532501</v>
      </c>
      <c r="L156" s="267">
        <f t="shared" si="24"/>
        <v>2.9017422445193244</v>
      </c>
      <c r="M156" s="267">
        <f t="shared" si="24"/>
        <v>2.9017422445193244</v>
      </c>
      <c r="N156" s="267">
        <f t="shared" si="24"/>
        <v>2.5404425714400705</v>
      </c>
      <c r="O156" s="267">
        <f t="shared" si="24"/>
        <v>2.025235483443836</v>
      </c>
      <c r="P156" s="267">
        <f t="shared" si="24"/>
        <v>1.9589057352974144</v>
      </c>
      <c r="Q156" s="267">
        <f t="shared" si="24"/>
        <v>5.8166154204280804</v>
      </c>
      <c r="R156" s="267">
        <f t="shared" si="24"/>
        <v>-1.8655125600822102</v>
      </c>
      <c r="S156" s="267">
        <f t="shared" si="24"/>
        <v>-1.7561723288781133</v>
      </c>
      <c r="T156" s="267">
        <f t="shared" si="24"/>
        <v>-1.8655125600822102</v>
      </c>
      <c r="U156" s="267">
        <f t="shared" si="24"/>
        <v>-1.8655125600822102</v>
      </c>
      <c r="V156" s="267">
        <f t="shared" si="24"/>
        <v>-1.7561723288781133</v>
      </c>
      <c r="W156" s="267">
        <f t="shared" si="24"/>
        <v>-1.7561723288781133</v>
      </c>
      <c r="X156" s="267">
        <f t="shared" si="24"/>
        <v>-1.7242113382184541</v>
      </c>
      <c r="Y156" s="267">
        <f t="shared" si="24"/>
        <v>-1.7242113382184541</v>
      </c>
      <c r="Z156" s="266"/>
      <c r="AA156" s="266"/>
    </row>
    <row r="157" spans="3:27" x14ac:dyDescent="0.25">
      <c r="E157" s="60"/>
      <c r="F157" s="254" t="s">
        <v>195</v>
      </c>
      <c r="G157" t="s">
        <v>269</v>
      </c>
      <c r="H157" s="266"/>
      <c r="I157" s="266"/>
      <c r="J157" s="267">
        <f t="shared" ref="J157:Y157" si="25">hundred * $H23 * J60 / $H48 * J86 * (1 - J72) / hours_in_year</f>
        <v>0.5194030656159655</v>
      </c>
      <c r="K157" s="267">
        <f t="shared" si="25"/>
        <v>0.5194030656159655</v>
      </c>
      <c r="L157" s="267">
        <f t="shared" si="25"/>
        <v>0.59658625730238612</v>
      </c>
      <c r="M157" s="267">
        <f t="shared" si="25"/>
        <v>0.59658625730238612</v>
      </c>
      <c r="N157" s="267">
        <f t="shared" si="25"/>
        <v>0.5223045321994616</v>
      </c>
      <c r="O157" s="267">
        <f t="shared" si="25"/>
        <v>0.41638007631649254</v>
      </c>
      <c r="P157" s="267">
        <f t="shared" si="25"/>
        <v>0.40274295321597442</v>
      </c>
      <c r="Q157" s="267">
        <f t="shared" si="25"/>
        <v>1.2376706046830337</v>
      </c>
      <c r="R157" s="267">
        <f t="shared" si="25"/>
        <v>-0.38354170094608026</v>
      </c>
      <c r="S157" s="267">
        <f t="shared" si="25"/>
        <v>-0.36106179962823071</v>
      </c>
      <c r="T157" s="267">
        <f t="shared" si="25"/>
        <v>-0.38354170094608026</v>
      </c>
      <c r="U157" s="267">
        <f t="shared" si="25"/>
        <v>-0.38354170094608026</v>
      </c>
      <c r="V157" s="267">
        <f t="shared" si="25"/>
        <v>-0.36106179962823071</v>
      </c>
      <c r="W157" s="267">
        <f t="shared" si="25"/>
        <v>-0.36106179962823071</v>
      </c>
      <c r="X157" s="267">
        <f t="shared" si="25"/>
        <v>-0.35449075155070536</v>
      </c>
      <c r="Y157" s="267">
        <f t="shared" si="25"/>
        <v>-0.35449075155070536</v>
      </c>
      <c r="Z157" s="266"/>
      <c r="AA157" s="266"/>
    </row>
    <row r="158" spans="3:27" x14ac:dyDescent="0.25">
      <c r="E158" s="60"/>
      <c r="F158" s="254" t="s">
        <v>196</v>
      </c>
      <c r="G158" t="s">
        <v>269</v>
      </c>
      <c r="H158" s="266"/>
      <c r="I158" s="266"/>
      <c r="J158" s="267">
        <f t="shared" ref="J158:Y158" si="26">hundred * $H24 * J61 / $H49 * J87 * (1 - J73) / hours_in_year</f>
        <v>0</v>
      </c>
      <c r="K158" s="267">
        <f t="shared" si="26"/>
        <v>0</v>
      </c>
      <c r="L158" s="267">
        <f t="shared" si="26"/>
        <v>0</v>
      </c>
      <c r="M158" s="267">
        <f t="shared" si="26"/>
        <v>0</v>
      </c>
      <c r="N158" s="267">
        <f t="shared" si="26"/>
        <v>0</v>
      </c>
      <c r="O158" s="267">
        <f t="shared" si="26"/>
        <v>0</v>
      </c>
      <c r="P158" s="267">
        <f t="shared" si="26"/>
        <v>0</v>
      </c>
      <c r="Q158" s="267">
        <f t="shared" si="26"/>
        <v>0</v>
      </c>
      <c r="R158" s="267">
        <f t="shared" si="26"/>
        <v>0</v>
      </c>
      <c r="S158" s="267">
        <f t="shared" si="26"/>
        <v>0</v>
      </c>
      <c r="T158" s="267">
        <f t="shared" si="26"/>
        <v>0</v>
      </c>
      <c r="U158" s="267">
        <f t="shared" si="26"/>
        <v>0</v>
      </c>
      <c r="V158" s="267">
        <f t="shared" si="26"/>
        <v>0</v>
      </c>
      <c r="W158" s="267">
        <f t="shared" si="26"/>
        <v>0</v>
      </c>
      <c r="X158" s="267">
        <f t="shared" si="26"/>
        <v>0</v>
      </c>
      <c r="Y158" s="267">
        <f t="shared" si="26"/>
        <v>0</v>
      </c>
      <c r="Z158" s="266"/>
      <c r="AA158" s="266"/>
    </row>
    <row r="159" spans="3:27" x14ac:dyDescent="0.25">
      <c r="E159" s="60"/>
      <c r="F159" s="254" t="s">
        <v>197</v>
      </c>
      <c r="G159" t="s">
        <v>269</v>
      </c>
      <c r="H159" s="266"/>
      <c r="I159" s="266"/>
      <c r="J159" s="267">
        <f t="shared" ref="J159:Y159" si="27">hundred * $H25 * J62 / $H50 * J88 * (1 - J74) / hours_in_year</f>
        <v>2.2344865391360926</v>
      </c>
      <c r="K159" s="267">
        <f t="shared" si="27"/>
        <v>2.2344865391360926</v>
      </c>
      <c r="L159" s="267">
        <f t="shared" si="27"/>
        <v>2.566530792025397</v>
      </c>
      <c r="M159" s="267">
        <f t="shared" si="27"/>
        <v>2.566530792025397</v>
      </c>
      <c r="N159" s="267">
        <f t="shared" si="27"/>
        <v>2.2469687296616465</v>
      </c>
      <c r="O159" s="267">
        <f t="shared" si="27"/>
        <v>1.7912787530244858</v>
      </c>
      <c r="P159" s="267">
        <f t="shared" si="27"/>
        <v>1.7326114674078468</v>
      </c>
      <c r="Q159" s="267">
        <f t="shared" si="27"/>
        <v>5.3244936141625629</v>
      </c>
      <c r="R159" s="267">
        <f t="shared" si="27"/>
        <v>-1.6500071422278375</v>
      </c>
      <c r="S159" s="267">
        <f t="shared" si="27"/>
        <v>-1.5532979769935642</v>
      </c>
      <c r="T159" s="267">
        <f t="shared" si="27"/>
        <v>-1.6500071422278375</v>
      </c>
      <c r="U159" s="267">
        <f t="shared" si="27"/>
        <v>-1.6500071422278375</v>
      </c>
      <c r="V159" s="267">
        <f t="shared" si="27"/>
        <v>-1.5532979769935642</v>
      </c>
      <c r="W159" s="267">
        <f t="shared" si="27"/>
        <v>-1.5532979769935642</v>
      </c>
      <c r="X159" s="267">
        <f t="shared" si="27"/>
        <v>0</v>
      </c>
      <c r="Y159" s="267">
        <f t="shared" si="27"/>
        <v>0</v>
      </c>
      <c r="Z159" s="266"/>
      <c r="AA159" s="266"/>
    </row>
    <row r="160" spans="3:27" x14ac:dyDescent="0.25">
      <c r="E160" s="60"/>
      <c r="F160" s="254" t="s">
        <v>198</v>
      </c>
      <c r="G160" t="s">
        <v>269</v>
      </c>
      <c r="H160" s="266"/>
      <c r="I160" s="266"/>
      <c r="J160" s="267">
        <f t="shared" ref="J160:Y160" si="28">hundred * $H26 * J63 / $H51 * J89 * (1 - J75) / hours_in_year</f>
        <v>0.56158973772189924</v>
      </c>
      <c r="K160" s="267">
        <f t="shared" si="28"/>
        <v>0.56158973772189924</v>
      </c>
      <c r="L160" s="267">
        <f t="shared" si="28"/>
        <v>0.6450418604472673</v>
      </c>
      <c r="M160" s="267">
        <f t="shared" si="28"/>
        <v>0.6450418604472673</v>
      </c>
      <c r="N160" s="267">
        <f t="shared" si="28"/>
        <v>0.56472686563950603</v>
      </c>
      <c r="O160" s="267">
        <f t="shared" si="28"/>
        <v>0.45019907145502946</v>
      </c>
      <c r="P160" s="267">
        <f t="shared" si="28"/>
        <v>0</v>
      </c>
      <c r="Q160" s="267">
        <f t="shared" si="28"/>
        <v>1.3381960105409982</v>
      </c>
      <c r="R160" s="267">
        <f t="shared" si="28"/>
        <v>-0.41469351549606936</v>
      </c>
      <c r="S160" s="267">
        <f t="shared" si="28"/>
        <v>0</v>
      </c>
      <c r="T160" s="267">
        <f t="shared" si="28"/>
        <v>-0.41469351549606936</v>
      </c>
      <c r="U160" s="267">
        <f t="shared" si="28"/>
        <v>-0.41469351549606936</v>
      </c>
      <c r="V160" s="267">
        <f t="shared" si="28"/>
        <v>0</v>
      </c>
      <c r="W160" s="267">
        <f t="shared" si="28"/>
        <v>0</v>
      </c>
      <c r="X160" s="267">
        <f t="shared" si="28"/>
        <v>0</v>
      </c>
      <c r="Y160" s="267">
        <f t="shared" si="28"/>
        <v>0</v>
      </c>
      <c r="Z160" s="266"/>
      <c r="AA160" s="266"/>
    </row>
    <row r="161" spans="3:27" x14ac:dyDescent="0.25">
      <c r="E161" s="60"/>
      <c r="F161" s="256" t="s">
        <v>199</v>
      </c>
      <c r="G161" s="91" t="s">
        <v>269</v>
      </c>
      <c r="H161" s="268"/>
      <c r="I161" s="268"/>
      <c r="J161" s="269">
        <f t="shared" ref="J161:Y161" si="29">hundred * $H27 * J64 / $H52 * J90 * (1 - J76) / hours_in_year</f>
        <v>0.94461169403915057</v>
      </c>
      <c r="K161" s="269">
        <f t="shared" si="29"/>
        <v>0.94461169403915057</v>
      </c>
      <c r="L161" s="269">
        <f t="shared" si="29"/>
        <v>1.0849808028810395</v>
      </c>
      <c r="M161" s="269">
        <f t="shared" si="29"/>
        <v>1.0849808028810395</v>
      </c>
      <c r="N161" s="269">
        <f t="shared" si="29"/>
        <v>0.94988844237983261</v>
      </c>
      <c r="O161" s="269">
        <f t="shared" si="29"/>
        <v>0</v>
      </c>
      <c r="P161" s="269">
        <f t="shared" si="29"/>
        <v>0</v>
      </c>
      <c r="Q161" s="269">
        <f t="shared" si="29"/>
        <v>2.2508879980629897</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620</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189</v>
      </c>
      <c r="G164" s="90" t="s">
        <v>269</v>
      </c>
      <c r="H164" s="264"/>
      <c r="I164" s="264"/>
      <c r="J164" s="265">
        <f t="shared" ref="J164:Y164" si="30">hundred * $H30 * J55 / $H43 * J81 / hours_in_year</f>
        <v>1.5383876244277608</v>
      </c>
      <c r="K164" s="265">
        <f t="shared" si="30"/>
        <v>1.5383876244277608</v>
      </c>
      <c r="L164" s="265">
        <f t="shared" si="30"/>
        <v>1.7669917177890753</v>
      </c>
      <c r="M164" s="265">
        <f t="shared" si="30"/>
        <v>1.7669917177890753</v>
      </c>
      <c r="N164" s="265">
        <f t="shared" si="30"/>
        <v>1.5469812977813204</v>
      </c>
      <c r="O164" s="265">
        <f t="shared" si="30"/>
        <v>1.2332502421870366</v>
      </c>
      <c r="P164" s="265">
        <f t="shared" si="30"/>
        <v>1.19285929573439</v>
      </c>
      <c r="Q164" s="265">
        <f t="shared" si="30"/>
        <v>3.5419794066385726</v>
      </c>
      <c r="R164" s="265">
        <f t="shared" si="30"/>
        <v>-1.135988301277532</v>
      </c>
      <c r="S164" s="265">
        <f t="shared" si="30"/>
        <v>-1.0694064801927354</v>
      </c>
      <c r="T164" s="265">
        <f t="shared" si="30"/>
        <v>-1.135988301277532</v>
      </c>
      <c r="U164" s="265">
        <f t="shared" si="30"/>
        <v>-1.135988301277532</v>
      </c>
      <c r="V164" s="265">
        <f t="shared" si="30"/>
        <v>-1.0694064801927354</v>
      </c>
      <c r="W164" s="265">
        <f t="shared" si="30"/>
        <v>-1.0694064801927354</v>
      </c>
      <c r="X164" s="265">
        <f t="shared" si="30"/>
        <v>-1.0499441017217945</v>
      </c>
      <c r="Y164" s="265">
        <f t="shared" si="30"/>
        <v>-1.0499441017217945</v>
      </c>
      <c r="Z164" s="266"/>
      <c r="AA164" s="266"/>
    </row>
    <row r="165" spans="3:27" x14ac:dyDescent="0.25">
      <c r="D165" s="60"/>
      <c r="E165" s="60"/>
      <c r="F165" s="254" t="s">
        <v>191</v>
      </c>
      <c r="G165" t="s">
        <v>269</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192</v>
      </c>
      <c r="G166" t="s">
        <v>269</v>
      </c>
      <c r="H166" s="266"/>
      <c r="I166" s="266"/>
      <c r="J166" s="267">
        <f t="shared" ref="J166:Y166" si="32">hundred * $H32 * J57 / $H45 * J83 / hours_in_year</f>
        <v>0</v>
      </c>
      <c r="K166" s="267">
        <f t="shared" si="32"/>
        <v>0</v>
      </c>
      <c r="L166" s="267">
        <f t="shared" si="32"/>
        <v>0</v>
      </c>
      <c r="M166" s="267">
        <f t="shared" si="32"/>
        <v>0</v>
      </c>
      <c r="N166" s="267">
        <f t="shared" si="32"/>
        <v>0</v>
      </c>
      <c r="O166" s="267">
        <f t="shared" si="32"/>
        <v>0</v>
      </c>
      <c r="P166" s="267">
        <f t="shared" si="32"/>
        <v>0</v>
      </c>
      <c r="Q166" s="267">
        <f t="shared" si="32"/>
        <v>0</v>
      </c>
      <c r="R166" s="267">
        <f t="shared" si="32"/>
        <v>0</v>
      </c>
      <c r="S166" s="267">
        <f t="shared" si="32"/>
        <v>0</v>
      </c>
      <c r="T166" s="267">
        <f t="shared" si="32"/>
        <v>0</v>
      </c>
      <c r="U166" s="267">
        <f t="shared" si="32"/>
        <v>0</v>
      </c>
      <c r="V166" s="267">
        <f t="shared" si="32"/>
        <v>0</v>
      </c>
      <c r="W166" s="267">
        <f t="shared" si="32"/>
        <v>0</v>
      </c>
      <c r="X166" s="267">
        <f t="shared" si="32"/>
        <v>0</v>
      </c>
      <c r="Y166" s="267">
        <f t="shared" si="32"/>
        <v>0</v>
      </c>
      <c r="Z166" s="266"/>
      <c r="AA166" s="266"/>
    </row>
    <row r="167" spans="3:27" x14ac:dyDescent="0.25">
      <c r="D167" s="60"/>
      <c r="E167" s="60"/>
      <c r="F167" s="254" t="s">
        <v>193</v>
      </c>
      <c r="G167" t="s">
        <v>269</v>
      </c>
      <c r="H167" s="266"/>
      <c r="I167" s="266"/>
      <c r="J167" s="267">
        <f t="shared" ref="J167:Y167" si="33">hundred * $H33 * J58 / $H46 * J84 / hours_in_year</f>
        <v>0</v>
      </c>
      <c r="K167" s="267">
        <f t="shared" si="33"/>
        <v>0</v>
      </c>
      <c r="L167" s="267">
        <f t="shared" si="33"/>
        <v>0</v>
      </c>
      <c r="M167" s="267">
        <f t="shared" si="33"/>
        <v>0</v>
      </c>
      <c r="N167" s="267">
        <f t="shared" si="33"/>
        <v>0</v>
      </c>
      <c r="O167" s="267">
        <f t="shared" si="33"/>
        <v>0</v>
      </c>
      <c r="P167" s="267">
        <f t="shared" si="33"/>
        <v>0</v>
      </c>
      <c r="Q167" s="267">
        <f t="shared" si="33"/>
        <v>0</v>
      </c>
      <c r="R167" s="267">
        <f t="shared" si="33"/>
        <v>0</v>
      </c>
      <c r="S167" s="267">
        <f t="shared" si="33"/>
        <v>0</v>
      </c>
      <c r="T167" s="267">
        <f t="shared" si="33"/>
        <v>0</v>
      </c>
      <c r="U167" s="267">
        <f t="shared" si="33"/>
        <v>0</v>
      </c>
      <c r="V167" s="267">
        <f t="shared" si="33"/>
        <v>0</v>
      </c>
      <c r="W167" s="267">
        <f t="shared" si="33"/>
        <v>0</v>
      </c>
      <c r="X167" s="267">
        <f t="shared" si="33"/>
        <v>0</v>
      </c>
      <c r="Y167" s="267">
        <f t="shared" si="33"/>
        <v>0</v>
      </c>
      <c r="Z167" s="266"/>
      <c r="AA167" s="266"/>
    </row>
    <row r="168" spans="3:27" x14ac:dyDescent="0.25">
      <c r="D168" s="60"/>
      <c r="E168" s="60"/>
      <c r="F168" s="254" t="s">
        <v>194</v>
      </c>
      <c r="G168" t="s">
        <v>269</v>
      </c>
      <c r="H168" s="266"/>
      <c r="I168" s="266"/>
      <c r="J168" s="267">
        <f t="shared" ref="J168:Y168" si="34">hundred * $H34 * J59 / $H47 * J85 / hours_in_year</f>
        <v>1.8934749670098119</v>
      </c>
      <c r="K168" s="267">
        <f t="shared" si="34"/>
        <v>1.8934749670098119</v>
      </c>
      <c r="L168" s="267">
        <f t="shared" si="34"/>
        <v>2.1748449684726316</v>
      </c>
      <c r="M168" s="267">
        <f t="shared" si="34"/>
        <v>2.1748449684726316</v>
      </c>
      <c r="N168" s="267">
        <f t="shared" si="34"/>
        <v>1.9040522136745963</v>
      </c>
      <c r="O168" s="267">
        <f t="shared" si="34"/>
        <v>1.5179064265474362</v>
      </c>
      <c r="P168" s="267">
        <f t="shared" si="34"/>
        <v>1.4681925281855921</v>
      </c>
      <c r="Q168" s="267">
        <f t="shared" si="34"/>
        <v>4.3595315209514247</v>
      </c>
      <c r="R168" s="267">
        <f t="shared" si="34"/>
        <v>-1.3981946923715725</v>
      </c>
      <c r="S168" s="267">
        <f t="shared" si="34"/>
        <v>-1.3162445976879367</v>
      </c>
      <c r="T168" s="267">
        <f t="shared" si="34"/>
        <v>-1.3981946923715725</v>
      </c>
      <c r="U168" s="267">
        <f t="shared" si="34"/>
        <v>-1.3981946923715725</v>
      </c>
      <c r="V168" s="267">
        <f t="shared" si="34"/>
        <v>-1.3162445976879367</v>
      </c>
      <c r="W168" s="267">
        <f t="shared" si="34"/>
        <v>-1.3162445976879367</v>
      </c>
      <c r="X168" s="267">
        <f t="shared" si="34"/>
        <v>-1.292289954626566</v>
      </c>
      <c r="Y168" s="267">
        <f t="shared" si="34"/>
        <v>-1.292289954626566</v>
      </c>
      <c r="Z168" s="266"/>
      <c r="AA168" s="266"/>
    </row>
    <row r="169" spans="3:27" x14ac:dyDescent="0.25">
      <c r="D169" s="60"/>
      <c r="E169" s="60"/>
      <c r="F169" s="254" t="s">
        <v>195</v>
      </c>
      <c r="G169" t="s">
        <v>269</v>
      </c>
      <c r="H169" s="266"/>
      <c r="I169" s="266"/>
      <c r="J169" s="267">
        <f t="shared" ref="J169:Y169" si="35">hundred * $H35 * J60 / $H48 * J86 / hours_in_year</f>
        <v>0.38929065667280344</v>
      </c>
      <c r="K169" s="267">
        <f t="shared" si="35"/>
        <v>0.38929065667280344</v>
      </c>
      <c r="L169" s="267">
        <f t="shared" si="35"/>
        <v>0.44713917040861834</v>
      </c>
      <c r="M169" s="267">
        <f t="shared" si="35"/>
        <v>0.44713917040861834</v>
      </c>
      <c r="N169" s="267">
        <f t="shared" si="35"/>
        <v>0.39146529503436928</v>
      </c>
      <c r="O169" s="267">
        <f t="shared" si="35"/>
        <v>0.31207531118918558</v>
      </c>
      <c r="P169" s="267">
        <f t="shared" si="35"/>
        <v>0.30185433838720027</v>
      </c>
      <c r="Q169" s="267">
        <f t="shared" si="35"/>
        <v>0.92762949304177889</v>
      </c>
      <c r="R169" s="267">
        <f t="shared" si="35"/>
        <v>-0.28746307156588735</v>
      </c>
      <c r="S169" s="267">
        <f t="shared" si="35"/>
        <v>-0.27061446953542517</v>
      </c>
      <c r="T169" s="267">
        <f t="shared" si="35"/>
        <v>-0.28746307156588735</v>
      </c>
      <c r="U169" s="267">
        <f t="shared" si="35"/>
        <v>-0.28746307156588735</v>
      </c>
      <c r="V169" s="267">
        <f t="shared" si="35"/>
        <v>-0.27061446953542517</v>
      </c>
      <c r="W169" s="267">
        <f t="shared" si="35"/>
        <v>-0.27061446953542517</v>
      </c>
      <c r="X169" s="267">
        <f t="shared" si="35"/>
        <v>-0.26568949355728994</v>
      </c>
      <c r="Y169" s="267">
        <f t="shared" si="35"/>
        <v>-0.26568949355728994</v>
      </c>
      <c r="Z169" s="266"/>
      <c r="AA169" s="266"/>
    </row>
    <row r="170" spans="3:27" x14ac:dyDescent="0.25">
      <c r="D170" s="60"/>
      <c r="E170" s="60"/>
      <c r="F170" s="254" t="s">
        <v>196</v>
      </c>
      <c r="G170" t="s">
        <v>269</v>
      </c>
      <c r="H170" s="266"/>
      <c r="I170" s="266"/>
      <c r="J170" s="267">
        <f t="shared" ref="J170:Y170" si="36">hundred * $H36 * J61 / $H49 * J87 / hours_in_year</f>
        <v>0</v>
      </c>
      <c r="K170" s="267">
        <f t="shared" si="36"/>
        <v>0</v>
      </c>
      <c r="L170" s="267">
        <f t="shared" si="36"/>
        <v>0</v>
      </c>
      <c r="M170" s="267">
        <f t="shared" si="36"/>
        <v>0</v>
      </c>
      <c r="N170" s="267">
        <f t="shared" si="36"/>
        <v>0</v>
      </c>
      <c r="O170" s="267">
        <f t="shared" si="36"/>
        <v>0</v>
      </c>
      <c r="P170" s="267">
        <f t="shared" si="36"/>
        <v>0</v>
      </c>
      <c r="Q170" s="267">
        <f t="shared" si="36"/>
        <v>0</v>
      </c>
      <c r="R170" s="267">
        <f t="shared" si="36"/>
        <v>0</v>
      </c>
      <c r="S170" s="267">
        <f t="shared" si="36"/>
        <v>0</v>
      </c>
      <c r="T170" s="267">
        <f t="shared" si="36"/>
        <v>0</v>
      </c>
      <c r="U170" s="267">
        <f t="shared" si="36"/>
        <v>0</v>
      </c>
      <c r="V170" s="267">
        <f t="shared" si="36"/>
        <v>0</v>
      </c>
      <c r="W170" s="267">
        <f t="shared" si="36"/>
        <v>0</v>
      </c>
      <c r="X170" s="267">
        <f t="shared" si="36"/>
        <v>0</v>
      </c>
      <c r="Y170" s="267">
        <f t="shared" si="36"/>
        <v>0</v>
      </c>
      <c r="Z170" s="266"/>
      <c r="AA170" s="266"/>
    </row>
    <row r="171" spans="3:27" x14ac:dyDescent="0.25">
      <c r="D171" s="60"/>
      <c r="E171" s="60"/>
      <c r="F171" s="254" t="s">
        <v>197</v>
      </c>
      <c r="G171" t="s">
        <v>269</v>
      </c>
      <c r="H171" s="266"/>
      <c r="I171" s="266"/>
      <c r="J171" s="267">
        <f t="shared" ref="J171:Y171" si="37">hundred * $H37 * J62 / $H50 * J88 / hours_in_year</f>
        <v>1.6747393108187529</v>
      </c>
      <c r="K171" s="267">
        <f t="shared" si="37"/>
        <v>1.6747393108187529</v>
      </c>
      <c r="L171" s="267">
        <f t="shared" si="37"/>
        <v>1.9236052375117636</v>
      </c>
      <c r="M171" s="267">
        <f t="shared" si="37"/>
        <v>1.9236052375117636</v>
      </c>
      <c r="N171" s="267">
        <f t="shared" si="37"/>
        <v>1.6840946659717793</v>
      </c>
      <c r="O171" s="267">
        <f t="shared" si="37"/>
        <v>1.342556731393131</v>
      </c>
      <c r="P171" s="267">
        <f t="shared" si="37"/>
        <v>1.2985858200627796</v>
      </c>
      <c r="Q171" s="267">
        <f t="shared" si="37"/>
        <v>3.990688066211868</v>
      </c>
      <c r="R171" s="267">
        <f t="shared" si="37"/>
        <v>-1.2366741870322659</v>
      </c>
      <c r="S171" s="267">
        <f t="shared" si="37"/>
        <v>-1.1641910290907895</v>
      </c>
      <c r="T171" s="267">
        <f t="shared" si="37"/>
        <v>-1.2366741870322659</v>
      </c>
      <c r="U171" s="267">
        <f t="shared" si="37"/>
        <v>-1.2366741870322659</v>
      </c>
      <c r="V171" s="267">
        <f t="shared" si="37"/>
        <v>-1.1641910290907895</v>
      </c>
      <c r="W171" s="267">
        <f t="shared" si="37"/>
        <v>-1.1641910290907895</v>
      </c>
      <c r="X171" s="267">
        <f t="shared" si="37"/>
        <v>0</v>
      </c>
      <c r="Y171" s="267">
        <f t="shared" si="37"/>
        <v>0</v>
      </c>
      <c r="Z171" s="266"/>
      <c r="AA171" s="266"/>
    </row>
    <row r="172" spans="3:27" x14ac:dyDescent="0.25">
      <c r="D172" s="60"/>
      <c r="E172" s="60"/>
      <c r="F172" s="254" t="s">
        <v>198</v>
      </c>
      <c r="G172" t="s">
        <v>269</v>
      </c>
      <c r="H172" s="266"/>
      <c r="I172" s="266"/>
      <c r="J172" s="267">
        <f t="shared" ref="J172:Y172" si="38">hundred * $H38 * J63 / $H51 * J89 / hours_in_year</f>
        <v>0.42090940976484226</v>
      </c>
      <c r="K172" s="267">
        <f t="shared" si="38"/>
        <v>0.42090940976484226</v>
      </c>
      <c r="L172" s="267">
        <f t="shared" si="38"/>
        <v>0.483456463887388</v>
      </c>
      <c r="M172" s="267">
        <f t="shared" si="38"/>
        <v>0.483456463887388</v>
      </c>
      <c r="N172" s="267">
        <f t="shared" si="38"/>
        <v>0.42326067541565898</v>
      </c>
      <c r="O172" s="267">
        <f t="shared" si="38"/>
        <v>0.33742252166412262</v>
      </c>
      <c r="P172" s="267">
        <f t="shared" si="38"/>
        <v>0</v>
      </c>
      <c r="Q172" s="267">
        <f t="shared" si="38"/>
        <v>1.0029729090694419</v>
      </c>
      <c r="R172" s="267">
        <f t="shared" si="38"/>
        <v>-0.31081124015694683</v>
      </c>
      <c r="S172" s="267">
        <f t="shared" si="38"/>
        <v>0</v>
      </c>
      <c r="T172" s="267">
        <f t="shared" si="38"/>
        <v>-0.31081124015694683</v>
      </c>
      <c r="U172" s="267">
        <f t="shared" si="38"/>
        <v>-0.31081124015694683</v>
      </c>
      <c r="V172" s="267">
        <f t="shared" si="38"/>
        <v>0</v>
      </c>
      <c r="W172" s="267">
        <f t="shared" si="38"/>
        <v>0</v>
      </c>
      <c r="X172" s="267">
        <f t="shared" si="38"/>
        <v>0</v>
      </c>
      <c r="Y172" s="267">
        <f t="shared" si="38"/>
        <v>0</v>
      </c>
      <c r="Z172" s="266"/>
      <c r="AA172" s="266"/>
    </row>
    <row r="173" spans="3:27" x14ac:dyDescent="0.25">
      <c r="D173" s="60"/>
      <c r="E173" s="60"/>
      <c r="F173" s="256" t="s">
        <v>199</v>
      </c>
      <c r="G173" s="91" t="s">
        <v>269</v>
      </c>
      <c r="H173" s="268"/>
      <c r="I173" s="268"/>
      <c r="J173" s="269">
        <f t="shared" ref="J173:Y173" si="39">hundred * $H39 * J64 / $H52 * J90 / hours_in_year</f>
        <v>0.7079829346737051</v>
      </c>
      <c r="K173" s="269">
        <f t="shared" si="39"/>
        <v>0.7079829346737051</v>
      </c>
      <c r="L173" s="269">
        <f t="shared" si="39"/>
        <v>0.81318905719212309</v>
      </c>
      <c r="M173" s="269">
        <f t="shared" si="39"/>
        <v>0.81318905719212309</v>
      </c>
      <c r="N173" s="269">
        <f t="shared" si="39"/>
        <v>0.71193783783586717</v>
      </c>
      <c r="O173" s="269">
        <f t="shared" si="39"/>
        <v>0</v>
      </c>
      <c r="P173" s="269">
        <f t="shared" si="39"/>
        <v>0</v>
      </c>
      <c r="Q173" s="269">
        <f t="shared" si="39"/>
        <v>1.6870321429923019</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624</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622</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154</v>
      </c>
      <c r="J179" s="259"/>
      <c r="K179" s="259"/>
      <c r="L179" s="259"/>
      <c r="M179" s="259"/>
      <c r="N179" s="259"/>
      <c r="O179" s="259"/>
      <c r="P179" s="259"/>
      <c r="Q179" s="259"/>
      <c r="R179" s="259"/>
      <c r="S179" s="259"/>
      <c r="T179" s="259"/>
      <c r="U179" s="259"/>
      <c r="V179" s="259"/>
      <c r="W179" s="259"/>
      <c r="X179" s="259"/>
      <c r="Y179" s="259"/>
      <c r="AA179" t="s">
        <v>623</v>
      </c>
    </row>
    <row r="180" spans="4:27" x14ac:dyDescent="0.25">
      <c r="E180" s="60" t="s">
        <v>619</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189</v>
      </c>
      <c r="G181" s="90" t="s">
        <v>269</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191</v>
      </c>
      <c r="G182" t="s">
        <v>269</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192</v>
      </c>
      <c r="G183" t="s">
        <v>269</v>
      </c>
      <c r="H183" s="266"/>
      <c r="I183" s="266"/>
      <c r="J183" s="267">
        <f t="shared" ref="J183:Y183" si="42">hundred * $H20 * J57 / $H45 * J95 * (1 - J69) / hours_in_year</f>
        <v>0</v>
      </c>
      <c r="K183" s="267">
        <f t="shared" si="42"/>
        <v>0</v>
      </c>
      <c r="L183" s="267">
        <f t="shared" si="42"/>
        <v>0</v>
      </c>
      <c r="M183" s="267">
        <f t="shared" si="42"/>
        <v>0</v>
      </c>
      <c r="N183" s="267">
        <f t="shared" si="42"/>
        <v>0</v>
      </c>
      <c r="O183" s="267">
        <f t="shared" si="42"/>
        <v>0</v>
      </c>
      <c r="P183" s="267">
        <f t="shared" si="42"/>
        <v>0</v>
      </c>
      <c r="Q183" s="267">
        <f t="shared" si="42"/>
        <v>0</v>
      </c>
      <c r="R183" s="267">
        <f t="shared" si="42"/>
        <v>0</v>
      </c>
      <c r="S183" s="267">
        <f t="shared" si="42"/>
        <v>0</v>
      </c>
      <c r="T183" s="267">
        <f t="shared" si="42"/>
        <v>0</v>
      </c>
      <c r="U183" s="267">
        <f t="shared" si="42"/>
        <v>0</v>
      </c>
      <c r="V183" s="267">
        <f t="shared" si="42"/>
        <v>0</v>
      </c>
      <c r="W183" s="267">
        <f t="shared" si="42"/>
        <v>0</v>
      </c>
      <c r="X183" s="267">
        <f t="shared" si="42"/>
        <v>0</v>
      </c>
      <c r="Y183" s="267">
        <f t="shared" si="42"/>
        <v>0</v>
      </c>
      <c r="Z183" s="266"/>
      <c r="AA183" s="266"/>
    </row>
    <row r="184" spans="4:27" x14ac:dyDescent="0.25">
      <c r="E184" s="60"/>
      <c r="F184" s="254" t="s">
        <v>193</v>
      </c>
      <c r="G184" t="s">
        <v>269</v>
      </c>
      <c r="H184" s="266"/>
      <c r="I184" s="266"/>
      <c r="J184" s="267">
        <f t="shared" ref="J184:Y184" si="43">hundred * $H21 * J58 / $H46 * J96 * (1 - J70) / hours_in_year</f>
        <v>0</v>
      </c>
      <c r="K184" s="267">
        <f t="shared" si="43"/>
        <v>0</v>
      </c>
      <c r="L184" s="267">
        <f t="shared" si="43"/>
        <v>0</v>
      </c>
      <c r="M184" s="267">
        <f t="shared" si="43"/>
        <v>0</v>
      </c>
      <c r="N184" s="267">
        <f t="shared" si="43"/>
        <v>0</v>
      </c>
      <c r="O184" s="267">
        <f t="shared" si="43"/>
        <v>0</v>
      </c>
      <c r="P184" s="267">
        <f t="shared" si="43"/>
        <v>0</v>
      </c>
      <c r="Q184" s="267">
        <f t="shared" si="43"/>
        <v>0</v>
      </c>
      <c r="R184" s="267">
        <f t="shared" si="43"/>
        <v>0</v>
      </c>
      <c r="S184" s="267">
        <f t="shared" si="43"/>
        <v>0</v>
      </c>
      <c r="T184" s="267">
        <f t="shared" si="43"/>
        <v>0</v>
      </c>
      <c r="U184" s="267">
        <f t="shared" si="43"/>
        <v>0</v>
      </c>
      <c r="V184" s="267">
        <f t="shared" si="43"/>
        <v>0</v>
      </c>
      <c r="W184" s="267">
        <f t="shared" si="43"/>
        <v>0</v>
      </c>
      <c r="X184" s="267">
        <f t="shared" si="43"/>
        <v>0</v>
      </c>
      <c r="Y184" s="267">
        <f t="shared" si="43"/>
        <v>0</v>
      </c>
      <c r="Z184" s="266"/>
      <c r="AA184" s="266"/>
    </row>
    <row r="185" spans="4:27" x14ac:dyDescent="0.25">
      <c r="E185" s="60"/>
      <c r="F185" s="254" t="s">
        <v>194</v>
      </c>
      <c r="G185" t="s">
        <v>269</v>
      </c>
      <c r="H185" s="266"/>
      <c r="I185" s="266"/>
      <c r="J185" s="267">
        <f t="shared" ref="J185:Y185" si="44">hundred * $H22 * J59 / $H47 * J97 * (1 - J71) / hours_in_year</f>
        <v>0.18385733625131542</v>
      </c>
      <c r="K185" s="267">
        <f t="shared" si="44"/>
        <v>0.18385733625131542</v>
      </c>
      <c r="L185" s="267">
        <f t="shared" si="44"/>
        <v>0.21117849965263474</v>
      </c>
      <c r="M185" s="267">
        <f t="shared" si="44"/>
        <v>0.21117849965263474</v>
      </c>
      <c r="N185" s="267">
        <f t="shared" si="44"/>
        <v>0.18488439202471788</v>
      </c>
      <c r="O185" s="267">
        <f t="shared" si="44"/>
        <v>0.14738944909553611</v>
      </c>
      <c r="P185" s="267">
        <f t="shared" si="44"/>
        <v>0.1425622054896111</v>
      </c>
      <c r="Q185" s="267">
        <f t="shared" si="44"/>
        <v>0.15763383888291102</v>
      </c>
      <c r="R185" s="267">
        <f t="shared" si="44"/>
        <v>-0.13576538173416086</v>
      </c>
      <c r="S185" s="267">
        <f t="shared" si="44"/>
        <v>-0.1278079878543408</v>
      </c>
      <c r="T185" s="267">
        <f t="shared" si="44"/>
        <v>-0.13576538173416086</v>
      </c>
      <c r="U185" s="267">
        <f t="shared" si="44"/>
        <v>-0.13576538173416086</v>
      </c>
      <c r="V185" s="267">
        <f t="shared" si="44"/>
        <v>-0.1278079878543408</v>
      </c>
      <c r="W185" s="267">
        <f t="shared" si="44"/>
        <v>-0.1278079878543408</v>
      </c>
      <c r="X185" s="267">
        <f t="shared" si="44"/>
        <v>-0.12548198041254724</v>
      </c>
      <c r="Y185" s="267">
        <f t="shared" si="44"/>
        <v>-0.12548198041254724</v>
      </c>
      <c r="Z185" s="266"/>
      <c r="AA185" s="266"/>
    </row>
    <row r="186" spans="4:27" x14ac:dyDescent="0.25">
      <c r="E186" s="60"/>
      <c r="F186" s="254" t="s">
        <v>195</v>
      </c>
      <c r="G186" t="s">
        <v>269</v>
      </c>
      <c r="H186" s="266"/>
      <c r="I186" s="266"/>
      <c r="J186" s="267">
        <f t="shared" ref="J186:Y186" si="45">hundred * $H23 * J60 / $H48 * J98 * (1 - J72) / hours_in_year</f>
        <v>7.5938585922135426E-2</v>
      </c>
      <c r="K186" s="267">
        <f t="shared" si="45"/>
        <v>7.5938585922135426E-2</v>
      </c>
      <c r="L186" s="267">
        <f t="shared" si="45"/>
        <v>8.7223044604860106E-2</v>
      </c>
      <c r="M186" s="267">
        <f t="shared" si="45"/>
        <v>8.7223044604860106E-2</v>
      </c>
      <c r="N186" s="267">
        <f t="shared" si="45"/>
        <v>7.6362790714207124E-2</v>
      </c>
      <c r="O186" s="267">
        <f t="shared" si="45"/>
        <v>6.0876256408166574E-2</v>
      </c>
      <c r="P186" s="267">
        <f t="shared" si="45"/>
        <v>5.888246023549415E-2</v>
      </c>
      <c r="Q186" s="267">
        <f t="shared" si="45"/>
        <v>5.6388760813268907E-2</v>
      </c>
      <c r="R186" s="267">
        <f t="shared" si="45"/>
        <v>-5.6075168477250942E-2</v>
      </c>
      <c r="S186" s="267">
        <f t="shared" si="45"/>
        <v>-5.2788526501577983E-2</v>
      </c>
      <c r="T186" s="267">
        <f t="shared" si="45"/>
        <v>-5.6075168477250942E-2</v>
      </c>
      <c r="U186" s="267">
        <f t="shared" si="45"/>
        <v>-5.6075168477250942E-2</v>
      </c>
      <c r="V186" s="267">
        <f t="shared" si="45"/>
        <v>-5.2788526501577983E-2</v>
      </c>
      <c r="W186" s="267">
        <f t="shared" si="45"/>
        <v>-5.2788526501577983E-2</v>
      </c>
      <c r="X186" s="267">
        <f t="shared" si="45"/>
        <v>-5.1827815770227423E-2</v>
      </c>
      <c r="Y186" s="267">
        <f t="shared" si="45"/>
        <v>-5.1827815770227423E-2</v>
      </c>
      <c r="Z186" s="266"/>
      <c r="AA186" s="266"/>
    </row>
    <row r="187" spans="4:27" x14ac:dyDescent="0.25">
      <c r="E187" s="60"/>
      <c r="F187" s="254" t="s">
        <v>196</v>
      </c>
      <c r="G187" t="s">
        <v>269</v>
      </c>
      <c r="H187" s="266"/>
      <c r="I187" s="266"/>
      <c r="J187" s="267">
        <f t="shared" ref="J187:Y187" si="46">hundred * $H24 * J61 / $H49 * J99 * (1 - J73) / hours_in_year</f>
        <v>0</v>
      </c>
      <c r="K187" s="267">
        <f t="shared" si="46"/>
        <v>0</v>
      </c>
      <c r="L187" s="267">
        <f t="shared" si="46"/>
        <v>0</v>
      </c>
      <c r="M187" s="267">
        <f t="shared" si="46"/>
        <v>0</v>
      </c>
      <c r="N187" s="267">
        <f t="shared" si="46"/>
        <v>0</v>
      </c>
      <c r="O187" s="267">
        <f t="shared" si="46"/>
        <v>0</v>
      </c>
      <c r="P187" s="267">
        <f t="shared" si="46"/>
        <v>0</v>
      </c>
      <c r="Q187" s="267">
        <f t="shared" si="46"/>
        <v>0</v>
      </c>
      <c r="R187" s="267">
        <f t="shared" si="46"/>
        <v>0</v>
      </c>
      <c r="S187" s="267">
        <f t="shared" si="46"/>
        <v>0</v>
      </c>
      <c r="T187" s="267">
        <f t="shared" si="46"/>
        <v>0</v>
      </c>
      <c r="U187" s="267">
        <f t="shared" si="46"/>
        <v>0</v>
      </c>
      <c r="V187" s="267">
        <f t="shared" si="46"/>
        <v>0</v>
      </c>
      <c r="W187" s="267">
        <f t="shared" si="46"/>
        <v>0</v>
      </c>
      <c r="X187" s="267">
        <f t="shared" si="46"/>
        <v>0</v>
      </c>
      <c r="Y187" s="267">
        <f t="shared" si="46"/>
        <v>0</v>
      </c>
      <c r="Z187" s="266"/>
      <c r="AA187" s="266"/>
    </row>
    <row r="188" spans="4:27" x14ac:dyDescent="0.25">
      <c r="E188" s="60"/>
      <c r="F188" s="254" t="s">
        <v>197</v>
      </c>
      <c r="G188" t="s">
        <v>269</v>
      </c>
      <c r="H188" s="266"/>
      <c r="I188" s="266"/>
      <c r="J188" s="267">
        <f t="shared" ref="J188:Y188" si="47">hundred * $H25 * J62 / $H50 * J100 * (1 - J74) / hours_in_year</f>
        <v>0.3266899240242479</v>
      </c>
      <c r="K188" s="267">
        <f t="shared" si="47"/>
        <v>0.3266899240242479</v>
      </c>
      <c r="L188" s="267">
        <f t="shared" si="47"/>
        <v>0.37523598140664521</v>
      </c>
      <c r="M188" s="267">
        <f t="shared" si="47"/>
        <v>0.37523598140664521</v>
      </c>
      <c r="N188" s="267">
        <f t="shared" si="47"/>
        <v>0.32851486492365733</v>
      </c>
      <c r="O188" s="267">
        <f t="shared" si="47"/>
        <v>0.26189136049039197</v>
      </c>
      <c r="P188" s="267">
        <f t="shared" si="47"/>
        <v>0.25331399350020251</v>
      </c>
      <c r="Q188" s="267">
        <f t="shared" si="47"/>
        <v>0.2425860287258596</v>
      </c>
      <c r="R188" s="267">
        <f t="shared" si="47"/>
        <v>-0.24123694571115428</v>
      </c>
      <c r="S188" s="267">
        <f t="shared" si="47"/>
        <v>-0.2270977198579307</v>
      </c>
      <c r="T188" s="267">
        <f t="shared" si="47"/>
        <v>-0.24123694571115428</v>
      </c>
      <c r="U188" s="267">
        <f t="shared" si="47"/>
        <v>-0.24123694571115428</v>
      </c>
      <c r="V188" s="267">
        <f t="shared" si="47"/>
        <v>-0.2270977198579307</v>
      </c>
      <c r="W188" s="267">
        <f t="shared" si="47"/>
        <v>-0.2270977198579307</v>
      </c>
      <c r="X188" s="267">
        <f t="shared" si="47"/>
        <v>0</v>
      </c>
      <c r="Y188" s="267">
        <f t="shared" si="47"/>
        <v>0</v>
      </c>
      <c r="Z188" s="266"/>
      <c r="AA188" s="266"/>
    </row>
    <row r="189" spans="4:27" x14ac:dyDescent="0.25">
      <c r="E189" s="60"/>
      <c r="F189" s="254" t="s">
        <v>198</v>
      </c>
      <c r="G189" t="s">
        <v>269</v>
      </c>
      <c r="H189" s="266"/>
      <c r="I189" s="266"/>
      <c r="J189" s="267">
        <f t="shared" ref="J189:Y189" si="48">hundred * $H26 * J63 / $H51 * J101 * (1 - J75) / hours_in_year</f>
        <v>8.2106428271479723E-2</v>
      </c>
      <c r="K189" s="267">
        <f t="shared" si="48"/>
        <v>8.2106428271479723E-2</v>
      </c>
      <c r="L189" s="267">
        <f t="shared" si="48"/>
        <v>9.4307427093944435E-2</v>
      </c>
      <c r="M189" s="267">
        <f t="shared" si="48"/>
        <v>9.4307427093944435E-2</v>
      </c>
      <c r="N189" s="267">
        <f t="shared" si="48"/>
        <v>8.2565087593479289E-2</v>
      </c>
      <c r="O189" s="267">
        <f t="shared" si="48"/>
        <v>6.5820714456527249E-2</v>
      </c>
      <c r="P189" s="267">
        <f t="shared" si="48"/>
        <v>0</v>
      </c>
      <c r="Q189" s="267">
        <f t="shared" si="48"/>
        <v>6.0968737945418079E-2</v>
      </c>
      <c r="R189" s="267">
        <f t="shared" si="48"/>
        <v>-6.062967518396311E-2</v>
      </c>
      <c r="S189" s="267">
        <f t="shared" si="48"/>
        <v>0</v>
      </c>
      <c r="T189" s="267">
        <f t="shared" si="48"/>
        <v>-6.062967518396311E-2</v>
      </c>
      <c r="U189" s="267">
        <f t="shared" si="48"/>
        <v>-6.062967518396311E-2</v>
      </c>
      <c r="V189" s="267">
        <f t="shared" si="48"/>
        <v>0</v>
      </c>
      <c r="W189" s="267">
        <f t="shared" si="48"/>
        <v>0</v>
      </c>
      <c r="X189" s="267">
        <f t="shared" si="48"/>
        <v>0</v>
      </c>
      <c r="Y189" s="267">
        <f t="shared" si="48"/>
        <v>0</v>
      </c>
      <c r="Z189" s="266"/>
      <c r="AA189" s="266"/>
    </row>
    <row r="190" spans="4:27" x14ac:dyDescent="0.25">
      <c r="E190" s="60"/>
      <c r="F190" s="256" t="s">
        <v>199</v>
      </c>
      <c r="G190" s="91" t="s">
        <v>269</v>
      </c>
      <c r="H190" s="268"/>
      <c r="I190" s="268"/>
      <c r="J190" s="269">
        <f t="shared" ref="J190:Y190" si="49">hundred * $H27 * J64 / $H52 * J102 * (1 - J76) / hours_in_year</f>
        <v>0.13810560822504511</v>
      </c>
      <c r="K190" s="269">
        <f t="shared" si="49"/>
        <v>0.13810560822504511</v>
      </c>
      <c r="L190" s="269">
        <f t="shared" si="49"/>
        <v>0.15862807399055276</v>
      </c>
      <c r="M190" s="269">
        <f t="shared" si="49"/>
        <v>0.15862807399055276</v>
      </c>
      <c r="N190" s="269">
        <f t="shared" si="49"/>
        <v>0.13887708770559684</v>
      </c>
      <c r="O190" s="269">
        <f t="shared" si="49"/>
        <v>0</v>
      </c>
      <c r="P190" s="269">
        <f t="shared" si="49"/>
        <v>0</v>
      </c>
      <c r="Q190" s="269">
        <f t="shared" si="49"/>
        <v>0.10255134480852998</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620</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189</v>
      </c>
      <c r="G193" s="90" t="s">
        <v>269</v>
      </c>
      <c r="H193" s="264"/>
      <c r="I193" s="264"/>
      <c r="J193" s="265">
        <f t="shared" ref="J193:Y193" si="50">hundred * $H30 * J55 / $H43 * J93 / hours_in_year</f>
        <v>0.11195839017901851</v>
      </c>
      <c r="K193" s="265">
        <f t="shared" si="50"/>
        <v>0.11195839017901851</v>
      </c>
      <c r="L193" s="265">
        <f t="shared" si="50"/>
        <v>0.12859538457149952</v>
      </c>
      <c r="M193" s="265">
        <f t="shared" si="50"/>
        <v>0.12859538457149952</v>
      </c>
      <c r="N193" s="265">
        <f t="shared" si="50"/>
        <v>0.11258380721898381</v>
      </c>
      <c r="O193" s="265">
        <f t="shared" si="50"/>
        <v>8.9751574707645415E-2</v>
      </c>
      <c r="P193" s="265">
        <f t="shared" si="50"/>
        <v>8.6812065008763525E-2</v>
      </c>
      <c r="Q193" s="265">
        <f t="shared" si="50"/>
        <v>9.5989810354620675E-2</v>
      </c>
      <c r="R193" s="265">
        <f t="shared" si="50"/>
        <v>-8.2673195918706893E-2</v>
      </c>
      <c r="S193" s="265">
        <f t="shared" si="50"/>
        <v>-7.7827607339161414E-2</v>
      </c>
      <c r="T193" s="265">
        <f t="shared" si="50"/>
        <v>-8.2673195918706893E-2</v>
      </c>
      <c r="U193" s="265">
        <f t="shared" si="50"/>
        <v>-8.2673195918706893E-2</v>
      </c>
      <c r="V193" s="265">
        <f t="shared" si="50"/>
        <v>-7.7827607339161414E-2</v>
      </c>
      <c r="W193" s="265">
        <f t="shared" si="50"/>
        <v>-7.7827607339161414E-2</v>
      </c>
      <c r="X193" s="265">
        <f t="shared" si="50"/>
        <v>-7.6411204523601964E-2</v>
      </c>
      <c r="Y193" s="265">
        <f t="shared" si="50"/>
        <v>-7.6411204523601964E-2</v>
      </c>
      <c r="Z193" s="266"/>
      <c r="AA193" s="266"/>
    </row>
    <row r="194" spans="3:27" x14ac:dyDescent="0.25">
      <c r="D194" s="60"/>
      <c r="E194" s="60"/>
      <c r="F194" s="254" t="s">
        <v>191</v>
      </c>
      <c r="G194" t="s">
        <v>269</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192</v>
      </c>
      <c r="G195" t="s">
        <v>269</v>
      </c>
      <c r="H195" s="266"/>
      <c r="I195" s="266"/>
      <c r="J195" s="267">
        <f t="shared" ref="J195:Y195" si="52">hundred * $H32 * J57 / $H45 * J95 / hours_in_year</f>
        <v>0</v>
      </c>
      <c r="K195" s="267">
        <f t="shared" si="52"/>
        <v>0</v>
      </c>
      <c r="L195" s="267">
        <f t="shared" si="52"/>
        <v>0</v>
      </c>
      <c r="M195" s="267">
        <f t="shared" si="52"/>
        <v>0</v>
      </c>
      <c r="N195" s="267">
        <f t="shared" si="52"/>
        <v>0</v>
      </c>
      <c r="O195" s="267">
        <f t="shared" si="52"/>
        <v>0</v>
      </c>
      <c r="P195" s="267">
        <f t="shared" si="52"/>
        <v>0</v>
      </c>
      <c r="Q195" s="267">
        <f t="shared" si="52"/>
        <v>0</v>
      </c>
      <c r="R195" s="267">
        <f t="shared" si="52"/>
        <v>0</v>
      </c>
      <c r="S195" s="267">
        <f t="shared" si="52"/>
        <v>0</v>
      </c>
      <c r="T195" s="267">
        <f t="shared" si="52"/>
        <v>0</v>
      </c>
      <c r="U195" s="267">
        <f t="shared" si="52"/>
        <v>0</v>
      </c>
      <c r="V195" s="267">
        <f t="shared" si="52"/>
        <v>0</v>
      </c>
      <c r="W195" s="267">
        <f t="shared" si="52"/>
        <v>0</v>
      </c>
      <c r="X195" s="267">
        <f t="shared" si="52"/>
        <v>0</v>
      </c>
      <c r="Y195" s="267">
        <f t="shared" si="52"/>
        <v>0</v>
      </c>
      <c r="Z195" s="266"/>
      <c r="AA195" s="266"/>
    </row>
    <row r="196" spans="3:27" x14ac:dyDescent="0.25">
      <c r="D196" s="60"/>
      <c r="E196" s="60"/>
      <c r="F196" s="254" t="s">
        <v>193</v>
      </c>
      <c r="G196" t="s">
        <v>269</v>
      </c>
      <c r="H196" s="266"/>
      <c r="I196" s="266"/>
      <c r="J196" s="267">
        <f t="shared" ref="J196:Y196" si="53">hundred * $H33 * J58 / $H46 * J96 / hours_in_year</f>
        <v>0</v>
      </c>
      <c r="K196" s="267">
        <f t="shared" si="53"/>
        <v>0</v>
      </c>
      <c r="L196" s="267">
        <f t="shared" si="53"/>
        <v>0</v>
      </c>
      <c r="M196" s="267">
        <f t="shared" si="53"/>
        <v>0</v>
      </c>
      <c r="N196" s="267">
        <f t="shared" si="53"/>
        <v>0</v>
      </c>
      <c r="O196" s="267">
        <f t="shared" si="53"/>
        <v>0</v>
      </c>
      <c r="P196" s="267">
        <f t="shared" si="53"/>
        <v>0</v>
      </c>
      <c r="Q196" s="267">
        <f t="shared" si="53"/>
        <v>0</v>
      </c>
      <c r="R196" s="267">
        <f t="shared" si="53"/>
        <v>0</v>
      </c>
      <c r="S196" s="267">
        <f t="shared" si="53"/>
        <v>0</v>
      </c>
      <c r="T196" s="267">
        <f t="shared" si="53"/>
        <v>0</v>
      </c>
      <c r="U196" s="267">
        <f t="shared" si="53"/>
        <v>0</v>
      </c>
      <c r="V196" s="267">
        <f t="shared" si="53"/>
        <v>0</v>
      </c>
      <c r="W196" s="267">
        <f t="shared" si="53"/>
        <v>0</v>
      </c>
      <c r="X196" s="267">
        <f t="shared" si="53"/>
        <v>0</v>
      </c>
      <c r="Y196" s="267">
        <f t="shared" si="53"/>
        <v>0</v>
      </c>
      <c r="Z196" s="266"/>
      <c r="AA196" s="266"/>
    </row>
    <row r="197" spans="3:27" x14ac:dyDescent="0.25">
      <c r="D197" s="60"/>
      <c r="E197" s="60"/>
      <c r="F197" s="254" t="s">
        <v>194</v>
      </c>
      <c r="G197" t="s">
        <v>269</v>
      </c>
      <c r="H197" s="266"/>
      <c r="I197" s="266"/>
      <c r="J197" s="267">
        <f t="shared" ref="J197:Y197" si="54">hundred * $H34 * J59 / $H47 * J97 / hours_in_year</f>
        <v>0.13780038644651965</v>
      </c>
      <c r="K197" s="267">
        <f t="shared" si="54"/>
        <v>0.13780038644651965</v>
      </c>
      <c r="L197" s="267">
        <f t="shared" si="54"/>
        <v>0.15827749631677301</v>
      </c>
      <c r="M197" s="267">
        <f t="shared" si="54"/>
        <v>0.15827749631677301</v>
      </c>
      <c r="N197" s="267">
        <f t="shared" si="54"/>
        <v>0.13857016091058302</v>
      </c>
      <c r="O197" s="267">
        <f t="shared" si="54"/>
        <v>0.11046784130355417</v>
      </c>
      <c r="P197" s="267">
        <f t="shared" si="54"/>
        <v>0.10684984026029581</v>
      </c>
      <c r="Q197" s="267">
        <f t="shared" si="54"/>
        <v>0.1181459731659641</v>
      </c>
      <c r="R197" s="267">
        <f t="shared" si="54"/>
        <v>-0.10175564625527836</v>
      </c>
      <c r="S197" s="267">
        <f t="shared" si="54"/>
        <v>-9.5791609279089848E-2</v>
      </c>
      <c r="T197" s="267">
        <f t="shared" si="54"/>
        <v>-0.10175564625527836</v>
      </c>
      <c r="U197" s="267">
        <f t="shared" si="54"/>
        <v>-0.10175564625527836</v>
      </c>
      <c r="V197" s="267">
        <f t="shared" si="54"/>
        <v>-9.5791609279089848E-2</v>
      </c>
      <c r="W197" s="267">
        <f t="shared" si="54"/>
        <v>-9.5791609279089848E-2</v>
      </c>
      <c r="X197" s="267">
        <f t="shared" si="54"/>
        <v>-9.40482753937424E-2</v>
      </c>
      <c r="Y197" s="267">
        <f t="shared" si="54"/>
        <v>-9.40482753937424E-2</v>
      </c>
      <c r="Z197" s="266"/>
      <c r="AA197" s="266"/>
    </row>
    <row r="198" spans="3:27" x14ac:dyDescent="0.25">
      <c r="D198" s="60"/>
      <c r="E198" s="60"/>
      <c r="F198" s="254" t="s">
        <v>195</v>
      </c>
      <c r="G198" t="s">
        <v>269</v>
      </c>
      <c r="H198" s="266"/>
      <c r="I198" s="266"/>
      <c r="J198" s="267">
        <f t="shared" ref="J198:Y198" si="55">hundred * $H35 * J60 / $H48 * J98 / hours_in_year</f>
        <v>5.6915686366567957E-2</v>
      </c>
      <c r="K198" s="267">
        <f t="shared" si="55"/>
        <v>5.6915686366567957E-2</v>
      </c>
      <c r="L198" s="267">
        <f t="shared" si="55"/>
        <v>6.5373345979310868E-2</v>
      </c>
      <c r="M198" s="267">
        <f t="shared" si="55"/>
        <v>6.5373345979310868E-2</v>
      </c>
      <c r="N198" s="267">
        <f t="shared" si="55"/>
        <v>5.7233626272974743E-2</v>
      </c>
      <c r="O198" s="267">
        <f t="shared" si="55"/>
        <v>4.5626526683689779E-2</v>
      </c>
      <c r="P198" s="267">
        <f t="shared" si="55"/>
        <v>4.4132183903076987E-2</v>
      </c>
      <c r="Q198" s="267">
        <f t="shared" si="55"/>
        <v>4.2263165505060013E-2</v>
      </c>
      <c r="R198" s="267">
        <f t="shared" si="55"/>
        <v>-4.2028129221107366E-2</v>
      </c>
      <c r="S198" s="267">
        <f t="shared" si="55"/>
        <v>-3.9564803342503244E-2</v>
      </c>
      <c r="T198" s="267">
        <f t="shared" si="55"/>
        <v>-4.2028129221107366E-2</v>
      </c>
      <c r="U198" s="267">
        <f t="shared" si="55"/>
        <v>-4.2028129221107366E-2</v>
      </c>
      <c r="V198" s="267">
        <f t="shared" si="55"/>
        <v>-3.9564803342503244E-2</v>
      </c>
      <c r="W198" s="267">
        <f t="shared" si="55"/>
        <v>-3.9564803342503244E-2</v>
      </c>
      <c r="X198" s="267">
        <f t="shared" si="55"/>
        <v>-3.8844754239526644E-2</v>
      </c>
      <c r="Y198" s="267">
        <f t="shared" si="55"/>
        <v>-3.8844754239526644E-2</v>
      </c>
      <c r="Z198" s="266"/>
      <c r="AA198" s="266"/>
    </row>
    <row r="199" spans="3:27" x14ac:dyDescent="0.25">
      <c r="D199" s="60"/>
      <c r="E199" s="60"/>
      <c r="F199" s="254" t="s">
        <v>196</v>
      </c>
      <c r="G199" t="s">
        <v>269</v>
      </c>
      <c r="H199" s="266"/>
      <c r="I199" s="266"/>
      <c r="J199" s="267">
        <f t="shared" ref="J199:Y199" si="56">hundred * $H36 * J61 / $H49 * J99 / hours_in_year</f>
        <v>0</v>
      </c>
      <c r="K199" s="267">
        <f t="shared" si="56"/>
        <v>0</v>
      </c>
      <c r="L199" s="267">
        <f t="shared" si="56"/>
        <v>0</v>
      </c>
      <c r="M199" s="267">
        <f t="shared" si="56"/>
        <v>0</v>
      </c>
      <c r="N199" s="267">
        <f t="shared" si="56"/>
        <v>0</v>
      </c>
      <c r="O199" s="267">
        <f t="shared" si="56"/>
        <v>0</v>
      </c>
      <c r="P199" s="267">
        <f t="shared" si="56"/>
        <v>0</v>
      </c>
      <c r="Q199" s="267">
        <f t="shared" si="56"/>
        <v>0</v>
      </c>
      <c r="R199" s="267">
        <f t="shared" si="56"/>
        <v>0</v>
      </c>
      <c r="S199" s="267">
        <f t="shared" si="56"/>
        <v>0</v>
      </c>
      <c r="T199" s="267">
        <f t="shared" si="56"/>
        <v>0</v>
      </c>
      <c r="U199" s="267">
        <f t="shared" si="56"/>
        <v>0</v>
      </c>
      <c r="V199" s="267">
        <f t="shared" si="56"/>
        <v>0</v>
      </c>
      <c r="W199" s="267">
        <f t="shared" si="56"/>
        <v>0</v>
      </c>
      <c r="X199" s="267">
        <f t="shared" si="56"/>
        <v>0</v>
      </c>
      <c r="Y199" s="267">
        <f t="shared" si="56"/>
        <v>0</v>
      </c>
      <c r="Z199" s="266"/>
      <c r="AA199" s="266"/>
    </row>
    <row r="200" spans="3:27" x14ac:dyDescent="0.25">
      <c r="D200" s="60"/>
      <c r="E200" s="60"/>
      <c r="F200" s="254" t="s">
        <v>197</v>
      </c>
      <c r="G200" t="s">
        <v>269</v>
      </c>
      <c r="H200" s="266"/>
      <c r="I200" s="266"/>
      <c r="J200" s="267">
        <f t="shared" ref="J200:Y200" si="57">hundred * $H37 * J62 / $H50 * J100 / hours_in_year</f>
        <v>0.24485287721774773</v>
      </c>
      <c r="K200" s="267">
        <f t="shared" si="57"/>
        <v>0.24485287721774773</v>
      </c>
      <c r="L200" s="267">
        <f t="shared" si="57"/>
        <v>0.28123796580950844</v>
      </c>
      <c r="M200" s="267">
        <f t="shared" si="57"/>
        <v>0.28123796580950844</v>
      </c>
      <c r="N200" s="267">
        <f t="shared" si="57"/>
        <v>0.24622066360206113</v>
      </c>
      <c r="O200" s="267">
        <f t="shared" si="57"/>
        <v>0.1962865960009936</v>
      </c>
      <c r="P200" s="267">
        <f t="shared" si="57"/>
        <v>0.18985789149541923</v>
      </c>
      <c r="Q200" s="267">
        <f t="shared" si="57"/>
        <v>0.18181732198739389</v>
      </c>
      <c r="R200" s="267">
        <f t="shared" si="57"/>
        <v>-0.18080618930938794</v>
      </c>
      <c r="S200" s="267">
        <f t="shared" si="57"/>
        <v>-0.17020889237060507</v>
      </c>
      <c r="T200" s="267">
        <f t="shared" si="57"/>
        <v>-0.18080618930938794</v>
      </c>
      <c r="U200" s="267">
        <f t="shared" si="57"/>
        <v>-0.18080618930938794</v>
      </c>
      <c r="V200" s="267">
        <f t="shared" si="57"/>
        <v>-0.17020889237060507</v>
      </c>
      <c r="W200" s="267">
        <f t="shared" si="57"/>
        <v>-0.17020889237060507</v>
      </c>
      <c r="X200" s="267">
        <f t="shared" si="57"/>
        <v>0</v>
      </c>
      <c r="Y200" s="267">
        <f t="shared" si="57"/>
        <v>0</v>
      </c>
      <c r="Z200" s="266"/>
      <c r="AA200" s="266"/>
    </row>
    <row r="201" spans="3:27" x14ac:dyDescent="0.25">
      <c r="D201" s="60"/>
      <c r="E201" s="60"/>
      <c r="F201" s="254" t="s">
        <v>198</v>
      </c>
      <c r="G201" t="s">
        <v>269</v>
      </c>
      <c r="H201" s="266"/>
      <c r="I201" s="266"/>
      <c r="J201" s="267">
        <f t="shared" ref="J201:Y201" si="58">hundred * $H38 * J63 / $H51 * J101 / hours_in_year</f>
        <v>6.1538461158209018E-2</v>
      </c>
      <c r="K201" s="267">
        <f t="shared" si="58"/>
        <v>6.1538461158209018E-2</v>
      </c>
      <c r="L201" s="267">
        <f t="shared" si="58"/>
        <v>7.0683064180581706E-2</v>
      </c>
      <c r="M201" s="267">
        <f t="shared" si="58"/>
        <v>7.0683064180581706E-2</v>
      </c>
      <c r="N201" s="267">
        <f t="shared" si="58"/>
        <v>6.188222460604037E-2</v>
      </c>
      <c r="O201" s="267">
        <f t="shared" si="58"/>
        <v>4.9332379513523934E-2</v>
      </c>
      <c r="P201" s="267">
        <f t="shared" si="58"/>
        <v>0</v>
      </c>
      <c r="Q201" s="267">
        <f t="shared" si="58"/>
        <v>4.5695841250256809E-2</v>
      </c>
      <c r="R201" s="267">
        <f t="shared" si="58"/>
        <v>-4.5441714977621957E-2</v>
      </c>
      <c r="S201" s="267">
        <f t="shared" si="58"/>
        <v>0</v>
      </c>
      <c r="T201" s="267">
        <f t="shared" si="58"/>
        <v>-4.5441714977621957E-2</v>
      </c>
      <c r="U201" s="267">
        <f t="shared" si="58"/>
        <v>-4.5441714977621957E-2</v>
      </c>
      <c r="V201" s="267">
        <f t="shared" si="58"/>
        <v>0</v>
      </c>
      <c r="W201" s="267">
        <f t="shared" si="58"/>
        <v>0</v>
      </c>
      <c r="X201" s="267">
        <f t="shared" si="58"/>
        <v>0</v>
      </c>
      <c r="Y201" s="267">
        <f t="shared" si="58"/>
        <v>0</v>
      </c>
      <c r="Z201" s="266"/>
      <c r="AA201" s="266"/>
    </row>
    <row r="202" spans="3:27" x14ac:dyDescent="0.25">
      <c r="D202" s="60"/>
      <c r="E202" s="60"/>
      <c r="F202" s="256" t="s">
        <v>199</v>
      </c>
      <c r="G202" s="91" t="s">
        <v>269</v>
      </c>
      <c r="H202" s="268"/>
      <c r="I202" s="268"/>
      <c r="J202" s="269">
        <f t="shared" ref="J202:Y202" si="59">hundred * $H39 * J64 / $H52 * J102 / hours_in_year</f>
        <v>0.10350963726478278</v>
      </c>
      <c r="K202" s="269">
        <f t="shared" si="59"/>
        <v>0.10350963726478278</v>
      </c>
      <c r="L202" s="269">
        <f t="shared" si="59"/>
        <v>0.11889114866369049</v>
      </c>
      <c r="M202" s="269">
        <f t="shared" si="59"/>
        <v>0.11889114866369049</v>
      </c>
      <c r="N202" s="269">
        <f t="shared" si="59"/>
        <v>0.10408785825244175</v>
      </c>
      <c r="O202" s="269">
        <f t="shared" si="59"/>
        <v>0</v>
      </c>
      <c r="P202" s="269">
        <f t="shared" si="59"/>
        <v>0</v>
      </c>
      <c r="Q202" s="269">
        <f t="shared" si="59"/>
        <v>7.6861849700188986E-2</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625</v>
      </c>
      <c r="D206" s="60"/>
      <c r="E206" s="60"/>
      <c r="I206" s="3" t="s">
        <v>154</v>
      </c>
      <c r="J206" s="259"/>
      <c r="K206" s="259"/>
      <c r="L206" s="259"/>
      <c r="M206" s="259"/>
      <c r="N206" s="259"/>
      <c r="O206" s="259"/>
      <c r="P206" s="259"/>
      <c r="Q206" s="259"/>
      <c r="R206" s="259"/>
      <c r="S206" s="259"/>
      <c r="T206" s="259"/>
      <c r="U206" s="259"/>
      <c r="V206" s="259"/>
      <c r="W206" s="259"/>
      <c r="X206" s="259"/>
      <c r="Y206" s="259"/>
      <c r="AA206" t="s">
        <v>623</v>
      </c>
    </row>
    <row r="207" spans="3:27" x14ac:dyDescent="0.25">
      <c r="C207" s="71" t="s">
        <v>626</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619</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189</v>
      </c>
      <c r="G210" s="90" t="s">
        <v>269</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191</v>
      </c>
      <c r="G211" t="s">
        <v>269</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192</v>
      </c>
      <c r="G212" t="s">
        <v>269</v>
      </c>
      <c r="H212" s="266"/>
      <c r="I212" s="266"/>
      <c r="J212" s="267">
        <f t="shared" ref="J212:Y212" si="62">hundred * $H20 * J57 / $H45 * J107 * (1 - J69) / hours_in_year</f>
        <v>0</v>
      </c>
      <c r="K212" s="267">
        <f t="shared" si="62"/>
        <v>0</v>
      </c>
      <c r="L212" s="267">
        <f t="shared" si="62"/>
        <v>0</v>
      </c>
      <c r="M212" s="267">
        <f t="shared" si="62"/>
        <v>0</v>
      </c>
      <c r="N212" s="267">
        <f t="shared" si="62"/>
        <v>0</v>
      </c>
      <c r="O212" s="267">
        <f t="shared" si="62"/>
        <v>0</v>
      </c>
      <c r="P212" s="267">
        <f t="shared" si="62"/>
        <v>0</v>
      </c>
      <c r="Q212" s="267">
        <f t="shared" si="62"/>
        <v>0</v>
      </c>
      <c r="R212" s="267">
        <f t="shared" si="62"/>
        <v>0</v>
      </c>
      <c r="S212" s="267">
        <f t="shared" si="62"/>
        <v>0</v>
      </c>
      <c r="T212" s="267">
        <f t="shared" si="62"/>
        <v>0</v>
      </c>
      <c r="U212" s="267">
        <f t="shared" si="62"/>
        <v>0</v>
      </c>
      <c r="V212" s="267">
        <f t="shared" si="62"/>
        <v>0</v>
      </c>
      <c r="W212" s="267">
        <f t="shared" si="62"/>
        <v>0</v>
      </c>
      <c r="X212" s="267">
        <f t="shared" si="62"/>
        <v>0</v>
      </c>
      <c r="Y212" s="267">
        <f t="shared" si="62"/>
        <v>0</v>
      </c>
      <c r="Z212" s="266"/>
      <c r="AA212" s="266"/>
    </row>
    <row r="213" spans="3:27" x14ac:dyDescent="0.25">
      <c r="E213" s="60"/>
      <c r="F213" s="254" t="s">
        <v>193</v>
      </c>
      <c r="G213" t="s">
        <v>269</v>
      </c>
      <c r="H213" s="266"/>
      <c r="I213" s="266"/>
      <c r="J213" s="267">
        <f t="shared" ref="J213:Y213" si="63">hundred * $H21 * J58 / $H46 * J108 * (1 - J70) / hours_in_year</f>
        <v>0</v>
      </c>
      <c r="K213" s="267">
        <f t="shared" si="63"/>
        <v>0</v>
      </c>
      <c r="L213" s="267">
        <f t="shared" si="63"/>
        <v>0</v>
      </c>
      <c r="M213" s="267">
        <f t="shared" si="63"/>
        <v>0</v>
      </c>
      <c r="N213" s="267">
        <f t="shared" si="63"/>
        <v>0</v>
      </c>
      <c r="O213" s="267">
        <f t="shared" si="63"/>
        <v>0</v>
      </c>
      <c r="P213" s="267">
        <f t="shared" si="63"/>
        <v>0</v>
      </c>
      <c r="Q213" s="267">
        <f t="shared" si="63"/>
        <v>0</v>
      </c>
      <c r="R213" s="267">
        <f t="shared" si="63"/>
        <v>0</v>
      </c>
      <c r="S213" s="267">
        <f t="shared" si="63"/>
        <v>0</v>
      </c>
      <c r="T213" s="267">
        <f t="shared" si="63"/>
        <v>0</v>
      </c>
      <c r="U213" s="267">
        <f t="shared" si="63"/>
        <v>0</v>
      </c>
      <c r="V213" s="267">
        <f t="shared" si="63"/>
        <v>0</v>
      </c>
      <c r="W213" s="267">
        <f t="shared" si="63"/>
        <v>0</v>
      </c>
      <c r="X213" s="267">
        <f t="shared" si="63"/>
        <v>0</v>
      </c>
      <c r="Y213" s="267">
        <f t="shared" si="63"/>
        <v>0</v>
      </c>
      <c r="Z213" s="266"/>
      <c r="AA213" s="266"/>
    </row>
    <row r="214" spans="3:27" x14ac:dyDescent="0.25">
      <c r="E214" s="60"/>
      <c r="F214" s="254" t="s">
        <v>194</v>
      </c>
      <c r="G214" t="s">
        <v>269</v>
      </c>
      <c r="H214" s="266"/>
      <c r="I214" s="266"/>
      <c r="J214" s="267">
        <f t="shared" ref="J214:Y214" si="64">hundred * $H22 * J59 / $H47 * J109 * (1 - J71) / hours_in_year</f>
        <v>4.1658488302845518E-3</v>
      </c>
      <c r="K214" s="267">
        <f t="shared" si="64"/>
        <v>4.1658488302845518E-3</v>
      </c>
      <c r="L214" s="267">
        <f t="shared" si="64"/>
        <v>4.7848931334274177E-3</v>
      </c>
      <c r="M214" s="267">
        <f t="shared" si="64"/>
        <v>4.7848931334274177E-3</v>
      </c>
      <c r="N214" s="267">
        <f t="shared" si="64"/>
        <v>4.1891199119802923E-3</v>
      </c>
      <c r="O214" s="267">
        <f t="shared" si="64"/>
        <v>3.3395575973734406E-3</v>
      </c>
      <c r="P214" s="267">
        <f t="shared" si="64"/>
        <v>3.2301816674309251E-3</v>
      </c>
      <c r="Q214" s="267">
        <f t="shared" si="64"/>
        <v>3.3646801124064657E-3</v>
      </c>
      <c r="R214" s="267">
        <f t="shared" si="64"/>
        <v>-3.0761788907748477E-3</v>
      </c>
      <c r="S214" s="267">
        <f t="shared" si="64"/>
        <v>-2.8958798575012996E-3</v>
      </c>
      <c r="T214" s="267">
        <f t="shared" si="64"/>
        <v>-3.0761788907748477E-3</v>
      </c>
      <c r="U214" s="267">
        <f t="shared" si="64"/>
        <v>-3.0761788907748477E-3</v>
      </c>
      <c r="V214" s="267">
        <f t="shared" si="64"/>
        <v>-2.8958798575012996E-3</v>
      </c>
      <c r="W214" s="267">
        <f t="shared" si="64"/>
        <v>-2.8958798575012996E-3</v>
      </c>
      <c r="X214" s="267">
        <f t="shared" si="64"/>
        <v>-2.8431770631598009E-3</v>
      </c>
      <c r="Y214" s="267">
        <f t="shared" si="64"/>
        <v>-2.8431770631598009E-3</v>
      </c>
      <c r="Z214" s="266"/>
      <c r="AA214" s="266"/>
    </row>
    <row r="215" spans="3:27" x14ac:dyDescent="0.25">
      <c r="E215" s="60"/>
      <c r="F215" s="254" t="s">
        <v>195</v>
      </c>
      <c r="G215" t="s">
        <v>269</v>
      </c>
      <c r="H215" s="266"/>
      <c r="I215" s="266"/>
      <c r="J215" s="267">
        <f t="shared" ref="J215:Y215" si="65">hundred * $H23 * J60 / $H48 * J110 * (1 - J72) / hours_in_year</f>
        <v>1.4351426093779883E-3</v>
      </c>
      <c r="K215" s="267">
        <f t="shared" si="65"/>
        <v>1.4351426093779883E-3</v>
      </c>
      <c r="L215" s="267">
        <f t="shared" si="65"/>
        <v>1.6484045141486295E-3</v>
      </c>
      <c r="M215" s="267">
        <f t="shared" si="65"/>
        <v>1.6484045141486295E-3</v>
      </c>
      <c r="N215" s="267">
        <f t="shared" si="65"/>
        <v>1.4431595399648793E-3</v>
      </c>
      <c r="O215" s="267">
        <f t="shared" si="65"/>
        <v>1.1504837548642474E-3</v>
      </c>
      <c r="P215" s="267">
        <f t="shared" si="65"/>
        <v>1.1128035451649137E-3</v>
      </c>
      <c r="Q215" s="267">
        <f t="shared" si="65"/>
        <v>1.1591385076523296E-3</v>
      </c>
      <c r="R215" s="267">
        <f t="shared" si="65"/>
        <v>-1.0597493044217224E-3</v>
      </c>
      <c r="S215" s="267">
        <f t="shared" si="65"/>
        <v>-9.9763595474867289E-4</v>
      </c>
      <c r="T215" s="267">
        <f t="shared" si="65"/>
        <v>-1.0597493044217224E-3</v>
      </c>
      <c r="U215" s="267">
        <f t="shared" si="65"/>
        <v>-1.0597493044217224E-3</v>
      </c>
      <c r="V215" s="267">
        <f t="shared" si="65"/>
        <v>-9.9763595474867289E-4</v>
      </c>
      <c r="W215" s="267">
        <f t="shared" si="65"/>
        <v>-9.9763595474867289E-4</v>
      </c>
      <c r="X215" s="267">
        <f t="shared" si="65"/>
        <v>-9.7947974484424304E-4</v>
      </c>
      <c r="Y215" s="267">
        <f t="shared" si="65"/>
        <v>-9.7947974484424304E-4</v>
      </c>
      <c r="Z215" s="266"/>
      <c r="AA215" s="266"/>
    </row>
    <row r="216" spans="3:27" x14ac:dyDescent="0.25">
      <c r="E216" s="60"/>
      <c r="F216" s="254" t="s">
        <v>196</v>
      </c>
      <c r="G216" t="s">
        <v>269</v>
      </c>
      <c r="H216" s="266"/>
      <c r="I216" s="266"/>
      <c r="J216" s="267">
        <f t="shared" ref="J216:Y216" si="66">hundred * $H24 * J61 / $H49 * J111 * (1 - J73) / hours_in_year</f>
        <v>0</v>
      </c>
      <c r="K216" s="267">
        <f t="shared" si="66"/>
        <v>0</v>
      </c>
      <c r="L216" s="267">
        <f t="shared" si="66"/>
        <v>0</v>
      </c>
      <c r="M216" s="267">
        <f t="shared" si="66"/>
        <v>0</v>
      </c>
      <c r="N216" s="267">
        <f t="shared" si="66"/>
        <v>0</v>
      </c>
      <c r="O216" s="267">
        <f t="shared" si="66"/>
        <v>0</v>
      </c>
      <c r="P216" s="267">
        <f t="shared" si="66"/>
        <v>0</v>
      </c>
      <c r="Q216" s="267">
        <f t="shared" si="66"/>
        <v>0</v>
      </c>
      <c r="R216" s="267">
        <f t="shared" si="66"/>
        <v>0</v>
      </c>
      <c r="S216" s="267">
        <f t="shared" si="66"/>
        <v>0</v>
      </c>
      <c r="T216" s="267">
        <f t="shared" si="66"/>
        <v>0</v>
      </c>
      <c r="U216" s="267">
        <f t="shared" si="66"/>
        <v>0</v>
      </c>
      <c r="V216" s="267">
        <f t="shared" si="66"/>
        <v>0</v>
      </c>
      <c r="W216" s="267">
        <f t="shared" si="66"/>
        <v>0</v>
      </c>
      <c r="X216" s="267">
        <f t="shared" si="66"/>
        <v>0</v>
      </c>
      <c r="Y216" s="267">
        <f t="shared" si="66"/>
        <v>0</v>
      </c>
      <c r="Z216" s="266"/>
      <c r="AA216" s="266"/>
    </row>
    <row r="217" spans="3:27" x14ac:dyDescent="0.25">
      <c r="E217" s="60"/>
      <c r="F217" s="254" t="s">
        <v>197</v>
      </c>
      <c r="G217" t="s">
        <v>269</v>
      </c>
      <c r="H217" s="266"/>
      <c r="I217" s="266"/>
      <c r="J217" s="267">
        <f t="shared" ref="J217:Y217" si="67">hundred * $H25 * J62 / $H50 * J112 * (1 - J74) / hours_in_year</f>
        <v>6.1740237104545709E-3</v>
      </c>
      <c r="K217" s="267">
        <f t="shared" si="67"/>
        <v>6.1740237104545709E-3</v>
      </c>
      <c r="L217" s="267">
        <f t="shared" si="67"/>
        <v>7.091482399219526E-3</v>
      </c>
      <c r="M217" s="267">
        <f t="shared" si="67"/>
        <v>7.091482399219526E-3</v>
      </c>
      <c r="N217" s="267">
        <f t="shared" si="67"/>
        <v>6.2085127704302814E-3</v>
      </c>
      <c r="O217" s="267">
        <f t="shared" si="67"/>
        <v>4.9494133437395903E-3</v>
      </c>
      <c r="P217" s="267">
        <f t="shared" si="67"/>
        <v>4.78731202601799E-3</v>
      </c>
      <c r="Q217" s="267">
        <f t="shared" si="67"/>
        <v>4.9866463326931404E-3</v>
      </c>
      <c r="R217" s="267">
        <f t="shared" si="67"/>
        <v>-4.5590711960487671E-3</v>
      </c>
      <c r="S217" s="267">
        <f t="shared" si="67"/>
        <v>-4.2918578256762076E-3</v>
      </c>
      <c r="T217" s="267">
        <f t="shared" si="67"/>
        <v>-4.5590711960487671E-3</v>
      </c>
      <c r="U217" s="267">
        <f t="shared" si="67"/>
        <v>-4.5590711960487671E-3</v>
      </c>
      <c r="V217" s="267">
        <f t="shared" si="67"/>
        <v>-4.2918578256762076E-3</v>
      </c>
      <c r="W217" s="267">
        <f t="shared" si="67"/>
        <v>-4.2918578256762076E-3</v>
      </c>
      <c r="X217" s="267">
        <f t="shared" si="67"/>
        <v>0</v>
      </c>
      <c r="Y217" s="267">
        <f t="shared" si="67"/>
        <v>0</v>
      </c>
      <c r="Z217" s="266"/>
      <c r="AA217" s="266"/>
    </row>
    <row r="218" spans="3:27" x14ac:dyDescent="0.25">
      <c r="E218" s="60"/>
      <c r="F218" s="254" t="s">
        <v>198</v>
      </c>
      <c r="G218" t="s">
        <v>269</v>
      </c>
      <c r="H218" s="266"/>
      <c r="I218" s="266"/>
      <c r="J218" s="267">
        <f t="shared" ref="J218:Y218" si="68">hundred * $H26 * J63 / $H51 * J113 * (1 - J75) / hours_in_year</f>
        <v>1.5517069785452816E-3</v>
      </c>
      <c r="K218" s="267">
        <f t="shared" si="68"/>
        <v>1.5517069785452816E-3</v>
      </c>
      <c r="L218" s="267">
        <f t="shared" si="68"/>
        <v>1.7822903252650119E-3</v>
      </c>
      <c r="M218" s="267">
        <f t="shared" si="68"/>
        <v>1.7822903252650119E-3</v>
      </c>
      <c r="N218" s="267">
        <f t="shared" si="68"/>
        <v>1.5603750558895837E-3</v>
      </c>
      <c r="O218" s="267">
        <f t="shared" si="68"/>
        <v>1.2439277180262729E-3</v>
      </c>
      <c r="P218" s="267">
        <f t="shared" si="68"/>
        <v>0</v>
      </c>
      <c r="Q218" s="267">
        <f t="shared" si="68"/>
        <v>1.2532854224182233E-3</v>
      </c>
      <c r="R218" s="267">
        <f t="shared" si="68"/>
        <v>-1.1458236836075896E-3</v>
      </c>
      <c r="S218" s="267">
        <f t="shared" si="68"/>
        <v>0</v>
      </c>
      <c r="T218" s="267">
        <f t="shared" si="68"/>
        <v>-1.1458236836075896E-3</v>
      </c>
      <c r="U218" s="267">
        <f t="shared" si="68"/>
        <v>-1.1458236836075896E-3</v>
      </c>
      <c r="V218" s="267">
        <f t="shared" si="68"/>
        <v>0</v>
      </c>
      <c r="W218" s="267">
        <f t="shared" si="68"/>
        <v>0</v>
      </c>
      <c r="X218" s="267">
        <f t="shared" si="68"/>
        <v>0</v>
      </c>
      <c r="Y218" s="267">
        <f t="shared" si="68"/>
        <v>0</v>
      </c>
      <c r="Z218" s="266"/>
      <c r="AA218" s="266"/>
    </row>
    <row r="219" spans="3:27" x14ac:dyDescent="0.25">
      <c r="E219" s="60"/>
      <c r="F219" s="256" t="s">
        <v>199</v>
      </c>
      <c r="G219" s="91" t="s">
        <v>269</v>
      </c>
      <c r="H219" s="268"/>
      <c r="I219" s="268"/>
      <c r="J219" s="269">
        <f t="shared" ref="J219:Y219" si="69">hundred * $H27 * J64 / $H52 * J114 * (1 - J76) / hours_in_year</f>
        <v>2.6100201965974651E-3</v>
      </c>
      <c r="K219" s="269">
        <f t="shared" si="69"/>
        <v>2.6100201965974651E-3</v>
      </c>
      <c r="L219" s="269">
        <f t="shared" si="69"/>
        <v>2.9978686758907287E-3</v>
      </c>
      <c r="M219" s="269">
        <f t="shared" si="69"/>
        <v>2.9978686758907287E-3</v>
      </c>
      <c r="N219" s="269">
        <f t="shared" si="69"/>
        <v>2.6246001767400479E-3</v>
      </c>
      <c r="O219" s="269">
        <f t="shared" si="69"/>
        <v>0</v>
      </c>
      <c r="P219" s="269">
        <f t="shared" si="69"/>
        <v>0</v>
      </c>
      <c r="Q219" s="269">
        <f t="shared" si="69"/>
        <v>2.1080657043118988E-3</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620</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189</v>
      </c>
      <c r="G222" s="90" t="s">
        <v>269</v>
      </c>
      <c r="H222" s="264"/>
      <c r="I222" s="264"/>
      <c r="J222" s="265">
        <f t="shared" ref="J222:Y222" si="70">hundred * $H30 * J55 / $H43 * J105 / hours_in_year</f>
        <v>2.5367588711841175E-3</v>
      </c>
      <c r="K222" s="265">
        <f t="shared" si="70"/>
        <v>2.5367588711841175E-3</v>
      </c>
      <c r="L222" s="265">
        <f t="shared" si="70"/>
        <v>2.9137207321708958E-3</v>
      </c>
      <c r="M222" s="265">
        <f t="shared" si="70"/>
        <v>2.9137207321708958E-3</v>
      </c>
      <c r="N222" s="265">
        <f t="shared" si="70"/>
        <v>2.550929602129649E-3</v>
      </c>
      <c r="O222" s="265">
        <f t="shared" si="70"/>
        <v>2.0335957222885428E-3</v>
      </c>
      <c r="P222" s="265">
        <f t="shared" si="70"/>
        <v>1.9669921627549778E-3</v>
      </c>
      <c r="Q222" s="265">
        <f t="shared" si="70"/>
        <v>2.0488938681101541E-3</v>
      </c>
      <c r="R222" s="265">
        <f t="shared" si="70"/>
        <v>-1.8732134574334491E-3</v>
      </c>
      <c r="S222" s="265">
        <f t="shared" si="70"/>
        <v>-1.763421866150154E-3</v>
      </c>
      <c r="T222" s="265">
        <f t="shared" si="70"/>
        <v>-1.8732134574334491E-3</v>
      </c>
      <c r="U222" s="265">
        <f t="shared" si="70"/>
        <v>-1.8732134574334491E-3</v>
      </c>
      <c r="V222" s="265">
        <f t="shared" si="70"/>
        <v>-1.763421866150154E-3</v>
      </c>
      <c r="W222" s="265">
        <f t="shared" si="70"/>
        <v>-1.763421866150154E-3</v>
      </c>
      <c r="X222" s="265">
        <f t="shared" si="70"/>
        <v>-1.7313289394673445E-3</v>
      </c>
      <c r="Y222" s="265">
        <f t="shared" si="70"/>
        <v>-1.7313289394673445E-3</v>
      </c>
      <c r="Z222" s="266"/>
      <c r="AA222" s="266"/>
    </row>
    <row r="223" spans="3:27" x14ac:dyDescent="0.25">
      <c r="C223" s="60"/>
      <c r="E223" s="60"/>
      <c r="F223" s="254" t="s">
        <v>191</v>
      </c>
      <c r="G223" t="s">
        <v>269</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192</v>
      </c>
      <c r="G224" t="s">
        <v>269</v>
      </c>
      <c r="H224" s="266"/>
      <c r="I224" s="266"/>
      <c r="J224" s="267">
        <f t="shared" ref="J224:Y224" si="72">hundred * $H32 * J57 / $H45 * J107 / hours_in_year</f>
        <v>0</v>
      </c>
      <c r="K224" s="267">
        <f t="shared" si="72"/>
        <v>0</v>
      </c>
      <c r="L224" s="267">
        <f t="shared" si="72"/>
        <v>0</v>
      </c>
      <c r="M224" s="267">
        <f t="shared" si="72"/>
        <v>0</v>
      </c>
      <c r="N224" s="267">
        <f t="shared" si="72"/>
        <v>0</v>
      </c>
      <c r="O224" s="267">
        <f t="shared" si="72"/>
        <v>0</v>
      </c>
      <c r="P224" s="267">
        <f t="shared" si="72"/>
        <v>0</v>
      </c>
      <c r="Q224" s="267">
        <f t="shared" si="72"/>
        <v>0</v>
      </c>
      <c r="R224" s="267">
        <f t="shared" si="72"/>
        <v>0</v>
      </c>
      <c r="S224" s="267">
        <f t="shared" si="72"/>
        <v>0</v>
      </c>
      <c r="T224" s="267">
        <f t="shared" si="72"/>
        <v>0</v>
      </c>
      <c r="U224" s="267">
        <f t="shared" si="72"/>
        <v>0</v>
      </c>
      <c r="V224" s="267">
        <f t="shared" si="72"/>
        <v>0</v>
      </c>
      <c r="W224" s="267">
        <f t="shared" si="72"/>
        <v>0</v>
      </c>
      <c r="X224" s="267">
        <f t="shared" si="72"/>
        <v>0</v>
      </c>
      <c r="Y224" s="267">
        <f t="shared" si="72"/>
        <v>0</v>
      </c>
      <c r="Z224" s="266"/>
      <c r="AA224" s="266"/>
    </row>
    <row r="225" spans="2:27" x14ac:dyDescent="0.25">
      <c r="C225" s="60"/>
      <c r="E225" s="60"/>
      <c r="F225" s="254" t="s">
        <v>193</v>
      </c>
      <c r="G225" t="s">
        <v>269</v>
      </c>
      <c r="H225" s="266"/>
      <c r="I225" s="266"/>
      <c r="J225" s="267">
        <f t="shared" ref="J225:Y225" si="73">hundred * $H33 * J58 / $H46 * J108 / hours_in_year</f>
        <v>0</v>
      </c>
      <c r="K225" s="267">
        <f t="shared" si="73"/>
        <v>0</v>
      </c>
      <c r="L225" s="267">
        <f t="shared" si="73"/>
        <v>0</v>
      </c>
      <c r="M225" s="267">
        <f t="shared" si="73"/>
        <v>0</v>
      </c>
      <c r="N225" s="267">
        <f t="shared" si="73"/>
        <v>0</v>
      </c>
      <c r="O225" s="267">
        <f t="shared" si="73"/>
        <v>0</v>
      </c>
      <c r="P225" s="267">
        <f t="shared" si="73"/>
        <v>0</v>
      </c>
      <c r="Q225" s="267">
        <f t="shared" si="73"/>
        <v>0</v>
      </c>
      <c r="R225" s="267">
        <f t="shared" si="73"/>
        <v>0</v>
      </c>
      <c r="S225" s="267">
        <f t="shared" si="73"/>
        <v>0</v>
      </c>
      <c r="T225" s="267">
        <f t="shared" si="73"/>
        <v>0</v>
      </c>
      <c r="U225" s="267">
        <f t="shared" si="73"/>
        <v>0</v>
      </c>
      <c r="V225" s="267">
        <f t="shared" si="73"/>
        <v>0</v>
      </c>
      <c r="W225" s="267">
        <f t="shared" si="73"/>
        <v>0</v>
      </c>
      <c r="X225" s="267">
        <f t="shared" si="73"/>
        <v>0</v>
      </c>
      <c r="Y225" s="267">
        <f t="shared" si="73"/>
        <v>0</v>
      </c>
      <c r="Z225" s="266"/>
      <c r="AA225" s="266"/>
    </row>
    <row r="226" spans="2:27" x14ac:dyDescent="0.25">
      <c r="C226" s="60"/>
      <c r="E226" s="60"/>
      <c r="F226" s="254" t="s">
        <v>194</v>
      </c>
      <c r="G226" t="s">
        <v>269</v>
      </c>
      <c r="H226" s="266"/>
      <c r="I226" s="266"/>
      <c r="J226" s="267">
        <f t="shared" ref="J226:Y226" si="74">hundred * $H34 * J59 / $H47 * J109 / hours_in_year</f>
        <v>3.1222881305444012E-3</v>
      </c>
      <c r="K226" s="267">
        <f t="shared" si="74"/>
        <v>3.1222881305444012E-3</v>
      </c>
      <c r="L226" s="267">
        <f t="shared" si="74"/>
        <v>3.5862595223848672E-3</v>
      </c>
      <c r="M226" s="267">
        <f t="shared" si="74"/>
        <v>3.5862595223848672E-3</v>
      </c>
      <c r="N226" s="267">
        <f t="shared" si="74"/>
        <v>3.1397297193114554E-3</v>
      </c>
      <c r="O226" s="267">
        <f t="shared" si="74"/>
        <v>2.5029859393232573E-3</v>
      </c>
      <c r="P226" s="267">
        <f t="shared" si="74"/>
        <v>2.4210090885685826E-3</v>
      </c>
      <c r="Q226" s="267">
        <f t="shared" si="74"/>
        <v>2.5218151704578104E-3</v>
      </c>
      <c r="R226" s="267">
        <f t="shared" si="74"/>
        <v>-2.3055845829723712E-3</v>
      </c>
      <c r="S226" s="267">
        <f t="shared" si="74"/>
        <v>-2.1704511313103297E-3</v>
      </c>
      <c r="T226" s="267">
        <f t="shared" si="74"/>
        <v>-2.3055845829723712E-3</v>
      </c>
      <c r="U226" s="267">
        <f t="shared" si="74"/>
        <v>-2.3055845829723712E-3</v>
      </c>
      <c r="V226" s="267">
        <f t="shared" si="74"/>
        <v>-2.1704511313103297E-3</v>
      </c>
      <c r="W226" s="267">
        <f t="shared" si="74"/>
        <v>-2.1704511313103297E-3</v>
      </c>
      <c r="X226" s="267">
        <f t="shared" si="74"/>
        <v>-2.1309505839014246E-3</v>
      </c>
      <c r="Y226" s="267">
        <f t="shared" si="74"/>
        <v>-2.1309505839014246E-3</v>
      </c>
      <c r="Z226" s="266"/>
      <c r="AA226" s="266"/>
    </row>
    <row r="227" spans="2:27" x14ac:dyDescent="0.25">
      <c r="C227" s="60"/>
      <c r="E227" s="60"/>
      <c r="F227" s="254" t="s">
        <v>195</v>
      </c>
      <c r="G227" t="s">
        <v>269</v>
      </c>
      <c r="H227" s="266"/>
      <c r="I227" s="266"/>
      <c r="J227" s="267">
        <f t="shared" ref="J227:Y227" si="75">hundred * $H35 * J60 / $H48 * J110 / hours_in_year</f>
        <v>1.075634022608866E-3</v>
      </c>
      <c r="K227" s="267">
        <f t="shared" si="75"/>
        <v>1.075634022608866E-3</v>
      </c>
      <c r="L227" s="267">
        <f t="shared" si="75"/>
        <v>1.2354730232759113E-3</v>
      </c>
      <c r="M227" s="267">
        <f t="shared" si="75"/>
        <v>1.2354730232759113E-3</v>
      </c>
      <c r="N227" s="267">
        <f t="shared" si="75"/>
        <v>1.0816426821245158E-3</v>
      </c>
      <c r="O227" s="267">
        <f t="shared" si="75"/>
        <v>8.6228327491937073E-4</v>
      </c>
      <c r="P227" s="267">
        <f t="shared" si="75"/>
        <v>8.3404209856045364E-4</v>
      </c>
      <c r="Q227" s="267">
        <f t="shared" si="75"/>
        <v>8.6876997979127505E-4</v>
      </c>
      <c r="R227" s="267">
        <f t="shared" si="75"/>
        <v>-7.9427814338683402E-4</v>
      </c>
      <c r="S227" s="267">
        <f t="shared" si="75"/>
        <v>-7.4772441992412516E-4</v>
      </c>
      <c r="T227" s="267">
        <f t="shared" si="75"/>
        <v>-7.9427814338683402E-4</v>
      </c>
      <c r="U227" s="267">
        <f t="shared" si="75"/>
        <v>-7.9427814338683402E-4</v>
      </c>
      <c r="V227" s="267">
        <f t="shared" si="75"/>
        <v>-7.4772441992412516E-4</v>
      </c>
      <c r="W227" s="267">
        <f t="shared" si="75"/>
        <v>-7.4772441992412516E-4</v>
      </c>
      <c r="X227" s="267">
        <f t="shared" si="75"/>
        <v>-7.3411640845041015E-4</v>
      </c>
      <c r="Y227" s="267">
        <f t="shared" si="75"/>
        <v>-7.3411640845041015E-4</v>
      </c>
      <c r="Z227" s="266"/>
      <c r="AA227" s="266"/>
    </row>
    <row r="228" spans="2:27" x14ac:dyDescent="0.25">
      <c r="C228" s="60"/>
      <c r="E228" s="60"/>
      <c r="F228" s="254" t="s">
        <v>196</v>
      </c>
      <c r="G228" t="s">
        <v>269</v>
      </c>
      <c r="H228" s="266"/>
      <c r="I228" s="266"/>
      <c r="J228" s="267">
        <f t="shared" ref="J228:Y228" si="76">hundred * $H36 * J61 / $H49 * J111 / hours_in_year</f>
        <v>0</v>
      </c>
      <c r="K228" s="267">
        <f t="shared" si="76"/>
        <v>0</v>
      </c>
      <c r="L228" s="267">
        <f t="shared" si="76"/>
        <v>0</v>
      </c>
      <c r="M228" s="267">
        <f t="shared" si="76"/>
        <v>0</v>
      </c>
      <c r="N228" s="267">
        <f t="shared" si="76"/>
        <v>0</v>
      </c>
      <c r="O228" s="267">
        <f t="shared" si="76"/>
        <v>0</v>
      </c>
      <c r="P228" s="267">
        <f t="shared" si="76"/>
        <v>0</v>
      </c>
      <c r="Q228" s="267">
        <f t="shared" si="76"/>
        <v>0</v>
      </c>
      <c r="R228" s="267">
        <f t="shared" si="76"/>
        <v>0</v>
      </c>
      <c r="S228" s="267">
        <f t="shared" si="76"/>
        <v>0</v>
      </c>
      <c r="T228" s="267">
        <f t="shared" si="76"/>
        <v>0</v>
      </c>
      <c r="U228" s="267">
        <f t="shared" si="76"/>
        <v>0</v>
      </c>
      <c r="V228" s="267">
        <f t="shared" si="76"/>
        <v>0</v>
      </c>
      <c r="W228" s="267">
        <f t="shared" si="76"/>
        <v>0</v>
      </c>
      <c r="X228" s="267">
        <f t="shared" si="76"/>
        <v>0</v>
      </c>
      <c r="Y228" s="267">
        <f t="shared" si="76"/>
        <v>0</v>
      </c>
      <c r="Z228" s="266"/>
      <c r="AA228" s="266"/>
    </row>
    <row r="229" spans="2:27" x14ac:dyDescent="0.25">
      <c r="C229" s="60"/>
      <c r="E229" s="60"/>
      <c r="F229" s="254" t="s">
        <v>197</v>
      </c>
      <c r="G229" t="s">
        <v>269</v>
      </c>
      <c r="H229" s="266"/>
      <c r="I229" s="266"/>
      <c r="J229" s="267">
        <f t="shared" ref="J229:Y229" si="77">hundred * $H37 * J62 / $H50 * J112 / hours_in_year</f>
        <v>4.6274076986934911E-3</v>
      </c>
      <c r="K229" s="267">
        <f t="shared" si="77"/>
        <v>4.6274076986934911E-3</v>
      </c>
      <c r="L229" s="267">
        <f t="shared" si="77"/>
        <v>5.3150395573848151E-3</v>
      </c>
      <c r="M229" s="267">
        <f t="shared" si="77"/>
        <v>5.3150395573848151E-3</v>
      </c>
      <c r="N229" s="267">
        <f t="shared" si="77"/>
        <v>4.6532571202598603E-3</v>
      </c>
      <c r="O229" s="267">
        <f t="shared" si="77"/>
        <v>3.7095668052027297E-3</v>
      </c>
      <c r="P229" s="267">
        <f t="shared" si="77"/>
        <v>3.5880724733421119E-3</v>
      </c>
      <c r="Q229" s="267">
        <f t="shared" si="77"/>
        <v>3.7374727912839441E-3</v>
      </c>
      <c r="R229" s="267">
        <f t="shared" si="77"/>
        <v>-3.4170068242148901E-3</v>
      </c>
      <c r="S229" s="267">
        <f t="shared" si="77"/>
        <v>-3.2167314016955323E-3</v>
      </c>
      <c r="T229" s="267">
        <f t="shared" si="77"/>
        <v>-3.4170068242148901E-3</v>
      </c>
      <c r="U229" s="267">
        <f t="shared" si="77"/>
        <v>-3.4170068242148901E-3</v>
      </c>
      <c r="V229" s="267">
        <f t="shared" si="77"/>
        <v>-3.2167314016955323E-3</v>
      </c>
      <c r="W229" s="267">
        <f t="shared" si="77"/>
        <v>-3.2167314016955323E-3</v>
      </c>
      <c r="X229" s="267">
        <f t="shared" si="77"/>
        <v>0</v>
      </c>
      <c r="Y229" s="267">
        <f t="shared" si="77"/>
        <v>0</v>
      </c>
      <c r="Z229" s="266"/>
      <c r="AA229" s="266"/>
    </row>
    <row r="230" spans="2:27" x14ac:dyDescent="0.25">
      <c r="C230" s="60"/>
      <c r="E230" s="60"/>
      <c r="F230" s="254" t="s">
        <v>198</v>
      </c>
      <c r="G230" t="s">
        <v>269</v>
      </c>
      <c r="H230" s="266"/>
      <c r="I230" s="266"/>
      <c r="J230" s="267">
        <f t="shared" ref="J230:Y230" si="78">hundred * $H38 * J63 / $H51 * J113 / hours_in_year</f>
        <v>1.1629985816993544E-3</v>
      </c>
      <c r="K230" s="267">
        <f t="shared" si="78"/>
        <v>1.1629985816993544E-3</v>
      </c>
      <c r="L230" s="267">
        <f t="shared" si="78"/>
        <v>1.3358199383771102E-3</v>
      </c>
      <c r="M230" s="267">
        <f t="shared" si="78"/>
        <v>1.3358199383771102E-3</v>
      </c>
      <c r="N230" s="267">
        <f t="shared" si="78"/>
        <v>1.1694952732763523E-3</v>
      </c>
      <c r="O230" s="267">
        <f t="shared" si="78"/>
        <v>9.3231917610973934E-4</v>
      </c>
      <c r="P230" s="267">
        <f t="shared" si="78"/>
        <v>0</v>
      </c>
      <c r="Q230" s="267">
        <f t="shared" si="78"/>
        <v>9.3933274058181687E-4</v>
      </c>
      <c r="R230" s="267">
        <f t="shared" si="78"/>
        <v>-8.5879056892716635E-4</v>
      </c>
      <c r="S230" s="267">
        <f t="shared" si="78"/>
        <v>0</v>
      </c>
      <c r="T230" s="267">
        <f t="shared" si="78"/>
        <v>-8.5879056892716635E-4</v>
      </c>
      <c r="U230" s="267">
        <f t="shared" si="78"/>
        <v>-8.5879056892716635E-4</v>
      </c>
      <c r="V230" s="267">
        <f t="shared" si="78"/>
        <v>0</v>
      </c>
      <c r="W230" s="267">
        <f t="shared" si="78"/>
        <v>0</v>
      </c>
      <c r="X230" s="267">
        <f t="shared" si="78"/>
        <v>0</v>
      </c>
      <c r="Y230" s="267">
        <f t="shared" si="78"/>
        <v>0</v>
      </c>
      <c r="Z230" s="266"/>
      <c r="AA230" s="266"/>
    </row>
    <row r="231" spans="2:27" x14ac:dyDescent="0.25">
      <c r="C231" s="60"/>
      <c r="E231" s="60"/>
      <c r="F231" s="256" t="s">
        <v>199</v>
      </c>
      <c r="G231" s="91" t="s">
        <v>269</v>
      </c>
      <c r="H231" s="268"/>
      <c r="I231" s="268"/>
      <c r="J231" s="269">
        <f t="shared" ref="J231:Y231" si="79">hundred * $H39 * J64 / $H52 * J114 / hours_in_year</f>
        <v>1.9562003837188657E-3</v>
      </c>
      <c r="K231" s="269">
        <f t="shared" si="79"/>
        <v>1.9562003837188657E-3</v>
      </c>
      <c r="L231" s="269">
        <f t="shared" si="79"/>
        <v>2.2468913695615602E-3</v>
      </c>
      <c r="M231" s="269">
        <f t="shared" si="79"/>
        <v>2.2468913695615602E-3</v>
      </c>
      <c r="N231" s="269">
        <f t="shared" si="79"/>
        <v>1.9671280243504269E-3</v>
      </c>
      <c r="O231" s="269">
        <f t="shared" si="79"/>
        <v>0</v>
      </c>
      <c r="P231" s="269">
        <f t="shared" si="79"/>
        <v>0</v>
      </c>
      <c r="Q231" s="269">
        <f t="shared" si="79"/>
        <v>1.5799873675519751E-3</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231</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627</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232</v>
      </c>
      <c r="G237" s="6" t="s">
        <v>55</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628</v>
      </c>
      <c r="G239" s="6" t="s">
        <v>55</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629</v>
      </c>
      <c r="G241" s="6" t="s">
        <v>55</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106</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630</v>
      </c>
      <c r="D9"/>
      <c r="F9" s="71"/>
    </row>
    <row r="10" spans="1:27" x14ac:dyDescent="0.25">
      <c r="C10" s="71" t="s">
        <v>631</v>
      </c>
      <c r="D10"/>
      <c r="E10"/>
      <c r="F10" s="71"/>
    </row>
    <row r="11" spans="1:27" x14ac:dyDescent="0.25">
      <c r="C11" s="71" t="s">
        <v>632</v>
      </c>
    </row>
    <row r="13" spans="1:27" x14ac:dyDescent="0.25">
      <c r="B13" s="70" t="s">
        <v>633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634</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566</v>
      </c>
      <c r="F19" s="89"/>
      <c r="G19" s="89" t="s">
        <v>167</v>
      </c>
      <c r="H19" s="242">
        <f>'Unit costs'!$H$121</f>
        <v>5.7482322471779264E-2</v>
      </c>
      <c r="I19" s="3"/>
      <c r="J19" s="3"/>
      <c r="K19" s="3"/>
      <c r="L19" s="3"/>
      <c r="M19" s="3"/>
      <c r="N19" s="3"/>
      <c r="P19" s="3"/>
    </row>
    <row r="20" spans="2:27" x14ac:dyDescent="0.25">
      <c r="C20" s="100"/>
      <c r="E20" t="s">
        <v>596</v>
      </c>
      <c r="G20" t="s">
        <v>356</v>
      </c>
      <c r="H20" s="163">
        <f>'Unit costs'!$H$122</f>
        <v>156372769.17278546</v>
      </c>
    </row>
    <row r="21" spans="2:27" x14ac:dyDescent="0.25">
      <c r="C21" s="100"/>
      <c r="E21" t="s">
        <v>635</v>
      </c>
      <c r="G21" t="s">
        <v>356</v>
      </c>
      <c r="H21" s="163">
        <f>'Unit costs'!$H$123</f>
        <v>3629588151.5871625</v>
      </c>
    </row>
    <row r="22" spans="2:27" x14ac:dyDescent="0.25">
      <c r="D22" s="100"/>
      <c r="E22"/>
    </row>
    <row r="23" spans="2:27" x14ac:dyDescent="0.25">
      <c r="D23"/>
      <c r="E23" s="60" t="s">
        <v>636</v>
      </c>
      <c r="H23" s="92"/>
      <c r="J23" s="92"/>
      <c r="K23" s="92"/>
      <c r="L23" s="92"/>
      <c r="M23" s="92"/>
      <c r="N23" s="92"/>
    </row>
    <row r="24" spans="2:27" x14ac:dyDescent="0.25">
      <c r="D24"/>
      <c r="E24" s="71" t="s">
        <v>637</v>
      </c>
      <c r="H24" s="92"/>
    </row>
    <row r="25" spans="2:27" x14ac:dyDescent="0.25">
      <c r="E25" s="100"/>
      <c r="F25" s="90" t="s">
        <v>375</v>
      </c>
      <c r="G25" s="90" t="s">
        <v>261</v>
      </c>
      <c r="H25" s="236"/>
      <c r="I25" s="90"/>
      <c r="J25" s="167">
        <f>'Inputs by customer type'!J187</f>
        <v>377.70000000000005</v>
      </c>
      <c r="K25" s="167">
        <f>'Inputs by customer type'!K187</f>
        <v>0</v>
      </c>
      <c r="L25" s="167">
        <f>'Inputs by customer type'!L187</f>
        <v>508.75</v>
      </c>
      <c r="M25" s="167">
        <f>'Inputs by customer type'!M187</f>
        <v>0</v>
      </c>
      <c r="N25" s="167">
        <f>'Inputs by customer type'!N187</f>
        <v>2380</v>
      </c>
      <c r="O25" s="167">
        <f>'Inputs by customer type'!O187</f>
        <v>840</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376</v>
      </c>
      <c r="G26" t="s">
        <v>261</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12718.10554</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9287</v>
      </c>
      <c r="Y26" s="163">
        <f>'Inputs by customer type'!Y188</f>
        <v>9287</v>
      </c>
    </row>
    <row r="27" spans="2:27" x14ac:dyDescent="0.25">
      <c r="E27" s="100"/>
      <c r="F27" s="91" t="s">
        <v>551</v>
      </c>
      <c r="G27" s="91" t="s">
        <v>264</v>
      </c>
      <c r="H27" s="91"/>
      <c r="I27" s="91"/>
      <c r="J27" s="116"/>
      <c r="K27" s="116"/>
      <c r="L27" s="116"/>
      <c r="M27" s="116"/>
      <c r="N27" s="116"/>
      <c r="O27" s="116"/>
      <c r="P27" s="116"/>
      <c r="Q27" s="168">
        <f>'Inputs by customer type'!Q190</f>
        <v>120.51</v>
      </c>
      <c r="R27" s="116"/>
      <c r="S27" s="116"/>
      <c r="T27" s="116"/>
      <c r="U27" s="116"/>
      <c r="V27" s="116"/>
      <c r="W27" s="116"/>
      <c r="X27" s="116"/>
      <c r="Y27" s="116"/>
    </row>
    <row r="28" spans="2:27" x14ac:dyDescent="0.25">
      <c r="D28" s="100"/>
      <c r="E28"/>
    </row>
    <row r="29" spans="2:27" x14ac:dyDescent="0.25">
      <c r="B29" s="70" t="s">
        <v>638</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639</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640</v>
      </c>
      <c r="G35" t="s">
        <v>277</v>
      </c>
      <c r="H35" s="141">
        <f>IF(H21 &lt;&gt; 0, H20  /H21, 0)</f>
        <v>4.3082785881479714E-2</v>
      </c>
      <c r="I35" t="s">
        <v>154</v>
      </c>
      <c r="J35" s="92"/>
      <c r="K35" s="92"/>
      <c r="L35" s="92"/>
      <c r="M35" s="92"/>
      <c r="N35" s="92"/>
      <c r="O35" s="92"/>
      <c r="P35" s="92"/>
      <c r="Q35" s="92"/>
      <c r="R35" s="92"/>
      <c r="S35" s="92"/>
      <c r="T35" s="92"/>
      <c r="U35" s="92"/>
      <c r="V35" s="92"/>
      <c r="W35" s="92"/>
      <c r="X35" s="92"/>
      <c r="Y35" s="92"/>
      <c r="AA35" t="s">
        <v>641</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642</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643</v>
      </c>
      <c r="H41" s="92"/>
      <c r="I41" t="s">
        <v>154</v>
      </c>
      <c r="J41" s="92"/>
      <c r="K41" s="92"/>
      <c r="L41" s="92"/>
      <c r="M41" s="92"/>
      <c r="N41" s="92"/>
      <c r="O41" s="92"/>
      <c r="P41" s="92"/>
      <c r="Q41" s="92"/>
      <c r="R41" s="92"/>
      <c r="S41" s="92"/>
      <c r="T41" s="92"/>
      <c r="U41" s="92"/>
      <c r="V41" s="92"/>
      <c r="W41" s="92"/>
      <c r="X41" s="92"/>
      <c r="Y41" s="92"/>
      <c r="AA41" t="s">
        <v>644</v>
      </c>
    </row>
    <row r="42" spans="2:27" x14ac:dyDescent="0.25">
      <c r="D42"/>
      <c r="E42" s="100"/>
      <c r="F42" s="90" t="s">
        <v>375</v>
      </c>
      <c r="G42" s="90" t="s">
        <v>270</v>
      </c>
      <c r="H42" s="236"/>
      <c r="I42" s="90"/>
      <c r="J42" s="145">
        <f t="shared" ref="J42:K42" si="0">J25 * $H$35 / days_in_year * hundred</f>
        <v>4.4581830760095587</v>
      </c>
      <c r="K42" s="145">
        <f t="shared" si="0"/>
        <v>0</v>
      </c>
      <c r="L42" s="145">
        <f t="shared" ref="L42:M42" si="1">L25 * $H$35 / days_in_year * hundred</f>
        <v>6.0050321416993988</v>
      </c>
      <c r="M42" s="145">
        <f t="shared" si="1"/>
        <v>0</v>
      </c>
      <c r="N42" s="145">
        <f t="shared" ref="N42:P42" si="2">N25 * $H$35 / days_in_year * hundred</f>
        <v>28.092337095321017</v>
      </c>
      <c r="O42" s="145">
        <f t="shared" si="2"/>
        <v>9.9149425042309467</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376</v>
      </c>
      <c r="G43" t="s">
        <v>270</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150.1181966569537</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109.61913218665811</v>
      </c>
      <c r="Y43" s="164">
        <f t="shared" si="13"/>
        <v>109.61913218665811</v>
      </c>
    </row>
    <row r="44" spans="2:27" x14ac:dyDescent="0.25">
      <c r="D44"/>
      <c r="E44" s="100"/>
      <c r="F44" s="91" t="s">
        <v>551</v>
      </c>
      <c r="G44" s="91" t="s">
        <v>269</v>
      </c>
      <c r="H44" s="268"/>
      <c r="I44" s="268"/>
      <c r="J44" s="274"/>
      <c r="K44" s="274"/>
      <c r="L44" s="274"/>
      <c r="M44" s="274"/>
      <c r="N44" s="274"/>
      <c r="O44" s="274"/>
      <c r="P44" s="274"/>
      <c r="Q44" s="275">
        <f t="shared" ref="Q44" si="14">Q27*$H$35/ten</f>
        <v>0.51919065265771214</v>
      </c>
      <c r="R44" s="274"/>
      <c r="S44" s="274"/>
      <c r="T44" s="274"/>
      <c r="U44" s="274"/>
      <c r="V44" s="274"/>
      <c r="W44" s="274"/>
      <c r="X44" s="274"/>
      <c r="Y44" s="274"/>
      <c r="Z44" s="266"/>
      <c r="AA44" s="266"/>
    </row>
    <row r="45" spans="2:27" x14ac:dyDescent="0.25">
      <c r="D45" s="100"/>
      <c r="E45"/>
    </row>
    <row r="46" spans="2:27" x14ac:dyDescent="0.25">
      <c r="B46" s="70" t="s">
        <v>231</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232</v>
      </c>
      <c r="G48" s="6" t="s">
        <v>55</v>
      </c>
      <c r="H48" s="108">
        <f t="array" ref="H48">SUM(IF(ISERROR(H19:Y45), 1))</f>
        <v>0</v>
      </c>
    </row>
    <row r="50" spans="2:27" x14ac:dyDescent="0.25">
      <c r="B50" s="70" t="s">
        <v>106</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Distribution - One</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32</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33</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34</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822</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35</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36</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37</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38</v>
      </c>
      <c r="G19" s="59" t="s">
        <v>39</v>
      </c>
      <c r="H19" s="58" t="s">
        <v>819</v>
      </c>
      <c r="I19" s="59" t="s">
        <v>40</v>
      </c>
      <c r="J19" s="59" t="s">
        <v>41</v>
      </c>
      <c r="K19" s="59" t="s">
        <v>42</v>
      </c>
      <c r="L19" s="59" t="s">
        <v>43</v>
      </c>
    </row>
    <row r="20" spans="1:12" ht="30" x14ac:dyDescent="0.25">
      <c r="A20" s="48"/>
      <c r="B20" s="48"/>
      <c r="C20" s="48"/>
      <c r="D20" s="48"/>
      <c r="E20" s="48"/>
      <c r="F20" s="423">
        <v>43250</v>
      </c>
      <c r="G20" s="420" t="s">
        <v>44</v>
      </c>
      <c r="H20" s="420">
        <v>1</v>
      </c>
      <c r="I20" s="420" t="s">
        <v>45</v>
      </c>
      <c r="J20" s="420" t="s">
        <v>46</v>
      </c>
      <c r="K20" s="420" t="s">
        <v>47</v>
      </c>
      <c r="L20" s="420" t="s">
        <v>48</v>
      </c>
    </row>
    <row r="21" spans="1:12" ht="30" x14ac:dyDescent="0.25">
      <c r="A21" s="48"/>
      <c r="B21" s="48"/>
      <c r="C21" s="48"/>
      <c r="D21" s="48"/>
      <c r="E21" s="48"/>
      <c r="F21" s="423">
        <v>43301</v>
      </c>
      <c r="G21" s="420" t="s">
        <v>44</v>
      </c>
      <c r="H21" s="420">
        <v>2</v>
      </c>
      <c r="I21" s="420" t="s">
        <v>49</v>
      </c>
      <c r="J21" s="420" t="s">
        <v>46</v>
      </c>
      <c r="K21" s="420" t="s">
        <v>47</v>
      </c>
      <c r="L21" s="420" t="s">
        <v>50</v>
      </c>
    </row>
    <row r="22" spans="1:12" ht="45" x14ac:dyDescent="0.25">
      <c r="A22" s="48"/>
      <c r="B22" s="48"/>
      <c r="C22" s="48"/>
      <c r="D22" s="48"/>
      <c r="E22" s="48"/>
      <c r="F22" s="423">
        <v>43389</v>
      </c>
      <c r="G22" s="420" t="s">
        <v>820</v>
      </c>
      <c r="H22" s="420">
        <v>3</v>
      </c>
      <c r="I22" s="424" t="s">
        <v>821</v>
      </c>
      <c r="J22" s="424" t="s">
        <v>46</v>
      </c>
      <c r="K22" s="424" t="s">
        <v>47</v>
      </c>
      <c r="L22" s="424" t="s">
        <v>823</v>
      </c>
    </row>
    <row r="23" spans="1:12" ht="60" x14ac:dyDescent="0.25">
      <c r="A23" s="48"/>
      <c r="B23" s="48"/>
      <c r="C23" s="48"/>
      <c r="D23" s="48"/>
      <c r="E23" s="48"/>
      <c r="F23" s="423">
        <v>43663</v>
      </c>
      <c r="G23" s="420" t="s">
        <v>44</v>
      </c>
      <c r="H23" s="420">
        <v>4</v>
      </c>
      <c r="I23" s="420" t="s">
        <v>852</v>
      </c>
      <c r="J23" s="424" t="s">
        <v>46</v>
      </c>
      <c r="K23" s="424" t="s">
        <v>47</v>
      </c>
      <c r="L23" s="420" t="s">
        <v>853</v>
      </c>
    </row>
    <row r="24" spans="1:12" ht="60" x14ac:dyDescent="0.25">
      <c r="A24" s="48"/>
      <c r="B24" s="48"/>
      <c r="C24" s="48"/>
      <c r="D24" s="48"/>
      <c r="E24" s="48"/>
      <c r="F24" s="423">
        <v>43777</v>
      </c>
      <c r="G24" s="420" t="s">
        <v>820</v>
      </c>
      <c r="H24" s="420">
        <v>5</v>
      </c>
      <c r="I24" s="420" t="s">
        <v>897</v>
      </c>
      <c r="J24" s="420" t="s">
        <v>46</v>
      </c>
      <c r="K24" s="420" t="s">
        <v>47</v>
      </c>
      <c r="L24" s="424" t="s">
        <v>891</v>
      </c>
    </row>
    <row r="25" spans="1:12" ht="90" x14ac:dyDescent="0.25">
      <c r="A25" s="48"/>
      <c r="B25" s="48"/>
      <c r="C25" s="48"/>
      <c r="D25" s="48"/>
      <c r="E25" s="48"/>
      <c r="F25" s="423">
        <v>43860</v>
      </c>
      <c r="G25" s="420" t="s">
        <v>820</v>
      </c>
      <c r="H25" s="420">
        <v>6</v>
      </c>
      <c r="I25" s="420" t="s">
        <v>899</v>
      </c>
      <c r="J25" s="420" t="s">
        <v>46</v>
      </c>
      <c r="K25" s="420" t="s">
        <v>47</v>
      </c>
      <c r="L25" s="424" t="s">
        <v>900</v>
      </c>
    </row>
    <row r="26" spans="1:12" ht="45" x14ac:dyDescent="0.25">
      <c r="A26" s="48"/>
      <c r="B26" s="48"/>
      <c r="C26" s="48"/>
      <c r="D26" s="48"/>
      <c r="E26" s="48"/>
      <c r="F26" s="423">
        <v>43977</v>
      </c>
      <c r="G26" s="420" t="s">
        <v>44</v>
      </c>
      <c r="H26" s="420">
        <v>6</v>
      </c>
      <c r="I26" s="420" t="s">
        <v>1115</v>
      </c>
      <c r="J26" s="420" t="s">
        <v>46</v>
      </c>
      <c r="K26" s="420" t="s">
        <v>47</v>
      </c>
      <c r="L26" s="420" t="s">
        <v>1116</v>
      </c>
    </row>
    <row r="27" spans="1:12" ht="60" x14ac:dyDescent="0.25">
      <c r="A27" s="48"/>
      <c r="B27" s="48"/>
      <c r="C27" s="48"/>
      <c r="D27" s="48"/>
      <c r="E27" s="48"/>
      <c r="F27" s="423">
        <v>44141</v>
      </c>
      <c r="G27" s="420" t="s">
        <v>820</v>
      </c>
      <c r="H27" s="420">
        <v>7</v>
      </c>
      <c r="I27" s="420" t="s">
        <v>1127</v>
      </c>
      <c r="J27" s="420" t="s">
        <v>46</v>
      </c>
      <c r="K27" s="420" t="s">
        <v>47</v>
      </c>
      <c r="L27" s="420" t="s">
        <v>1128</v>
      </c>
    </row>
    <row r="28" spans="1:12" ht="45" x14ac:dyDescent="0.25">
      <c r="A28" s="48"/>
      <c r="B28" s="48"/>
      <c r="C28" s="48"/>
      <c r="D28" s="48"/>
      <c r="E28" s="48"/>
      <c r="F28" s="423">
        <v>44225</v>
      </c>
      <c r="G28" s="420" t="s">
        <v>44</v>
      </c>
      <c r="H28" s="420">
        <v>7</v>
      </c>
      <c r="I28" s="420" t="s">
        <v>1143</v>
      </c>
      <c r="J28" s="420" t="s">
        <v>46</v>
      </c>
      <c r="K28" s="420" t="s">
        <v>47</v>
      </c>
      <c r="L28" s="420" t="s">
        <v>1144</v>
      </c>
    </row>
    <row r="29" spans="1:12" ht="90" x14ac:dyDescent="0.25">
      <c r="A29" s="48"/>
      <c r="B29" s="48"/>
      <c r="C29" s="48"/>
      <c r="D29" s="48"/>
      <c r="E29" s="48"/>
      <c r="F29" s="425">
        <v>44250</v>
      </c>
      <c r="G29" s="420" t="s">
        <v>820</v>
      </c>
      <c r="H29" s="426">
        <v>8</v>
      </c>
      <c r="I29" s="424" t="s">
        <v>1145</v>
      </c>
      <c r="J29" s="420" t="s">
        <v>46</v>
      </c>
      <c r="K29" s="427" t="s">
        <v>47</v>
      </c>
      <c r="L29" s="427" t="s">
        <v>1146</v>
      </c>
    </row>
    <row r="30" spans="1:12" ht="60" x14ac:dyDescent="0.25">
      <c r="A30" s="48"/>
      <c r="B30" s="48"/>
      <c r="C30" s="48"/>
      <c r="D30" s="48"/>
      <c r="E30" s="48"/>
      <c r="F30" s="425">
        <v>44522</v>
      </c>
      <c r="G30" s="420" t="s">
        <v>820</v>
      </c>
      <c r="H30" s="426">
        <v>8</v>
      </c>
      <c r="I30" s="424" t="s">
        <v>1147</v>
      </c>
      <c r="J30" s="420" t="s">
        <v>46</v>
      </c>
      <c r="K30" s="427" t="s">
        <v>47</v>
      </c>
      <c r="L30" s="427" t="s">
        <v>1153</v>
      </c>
    </row>
    <row r="31" spans="1:12" ht="60" x14ac:dyDescent="0.25">
      <c r="A31" s="48"/>
      <c r="B31" s="48"/>
      <c r="C31" s="48"/>
      <c r="D31" s="48"/>
      <c r="E31" s="48"/>
      <c r="F31" s="425">
        <v>44627</v>
      </c>
      <c r="G31" s="420" t="s">
        <v>44</v>
      </c>
      <c r="H31" s="426">
        <v>8</v>
      </c>
      <c r="I31" s="424" t="s">
        <v>1147</v>
      </c>
      <c r="J31" s="420" t="s">
        <v>46</v>
      </c>
      <c r="K31" s="427" t="s">
        <v>47</v>
      </c>
      <c r="L31" s="427" t="s">
        <v>1155</v>
      </c>
    </row>
    <row r="32" spans="1:12" ht="45" x14ac:dyDescent="0.25">
      <c r="A32" s="48"/>
      <c r="B32" s="48"/>
      <c r="C32" s="48"/>
      <c r="D32" s="48"/>
      <c r="E32" s="48"/>
      <c r="F32" s="425">
        <v>44861</v>
      </c>
      <c r="G32" s="420" t="s">
        <v>820</v>
      </c>
      <c r="H32" s="426">
        <v>9</v>
      </c>
      <c r="I32" s="424" t="s">
        <v>1156</v>
      </c>
      <c r="J32" s="420" t="s">
        <v>46</v>
      </c>
      <c r="K32" s="427" t="s">
        <v>47</v>
      </c>
      <c r="L32" s="427" t="s">
        <v>1157</v>
      </c>
    </row>
    <row r="33" spans="1:12" ht="45" x14ac:dyDescent="0.25">
      <c r="A33" s="48"/>
      <c r="B33" s="48"/>
      <c r="C33" s="48"/>
      <c r="D33" s="48"/>
      <c r="E33" s="48"/>
      <c r="F33" s="423">
        <v>45236</v>
      </c>
      <c r="G33" s="420" t="s">
        <v>820</v>
      </c>
      <c r="H33" s="420">
        <v>10</v>
      </c>
      <c r="I33" s="420" t="s">
        <v>1170</v>
      </c>
      <c r="J33" s="420" t="s">
        <v>46</v>
      </c>
      <c r="K33" s="427" t="s">
        <v>47</v>
      </c>
      <c r="L33" s="427" t="s">
        <v>1167</v>
      </c>
    </row>
    <row r="34" spans="1:12" x14ac:dyDescent="0.25">
      <c r="A34" s="48"/>
      <c r="B34" s="48"/>
      <c r="C34" s="48"/>
      <c r="D34" s="48"/>
      <c r="E34" s="48"/>
      <c r="F34" s="423"/>
      <c r="G34" s="420"/>
      <c r="H34" s="420"/>
      <c r="I34" s="420"/>
      <c r="J34" s="420"/>
      <c r="K34" s="420"/>
      <c r="L34" s="420"/>
    </row>
    <row r="36" spans="1:12" x14ac:dyDescent="0.25">
      <c r="B36" s="49" t="s">
        <v>51</v>
      </c>
      <c r="C36" s="49"/>
      <c r="D36" s="49"/>
      <c r="E36" s="49"/>
      <c r="F36" s="49"/>
      <c r="G36" s="50"/>
      <c r="H36" s="50"/>
      <c r="I36" s="50"/>
      <c r="J36" s="50"/>
      <c r="K36" s="50"/>
      <c r="L36" s="49"/>
    </row>
    <row r="38" spans="1:12" x14ac:dyDescent="0.25">
      <c r="E38" s="60" t="s">
        <v>52</v>
      </c>
      <c r="F38" s="61"/>
      <c r="G38" s="62"/>
      <c r="H38" s="62"/>
      <c r="I38" s="62"/>
      <c r="J38" s="62"/>
    </row>
    <row r="39" spans="1:12" x14ac:dyDescent="0.25">
      <c r="F39" s="6" t="s">
        <v>53</v>
      </c>
      <c r="H39" s="428" t="s">
        <v>54</v>
      </c>
      <c r="I39" s="6" t="s">
        <v>55</v>
      </c>
      <c r="J39" s="63">
        <f>'Fixed inputs'!H197</f>
        <v>0</v>
      </c>
    </row>
    <row r="40" spans="1:12" x14ac:dyDescent="0.25">
      <c r="F40" s="6" t="s">
        <v>56</v>
      </c>
      <c r="H40" s="428" t="s">
        <v>57</v>
      </c>
      <c r="I40" s="6" t="s">
        <v>55</v>
      </c>
      <c r="J40" s="63">
        <f>'Inputs by customer type'!H236</f>
        <v>0</v>
      </c>
    </row>
    <row r="41" spans="1:12" x14ac:dyDescent="0.25">
      <c r="F41" s="6" t="s">
        <v>58</v>
      </c>
      <c r="H41" s="428" t="s">
        <v>59</v>
      </c>
      <c r="I41" s="6" t="s">
        <v>55</v>
      </c>
      <c r="J41" s="64">
        <f>'Inputs by network level'!H56</f>
        <v>0</v>
      </c>
    </row>
    <row r="42" spans="1:12" x14ac:dyDescent="0.25">
      <c r="F42" s="6" t="s">
        <v>60</v>
      </c>
      <c r="H42" s="428" t="s">
        <v>61</v>
      </c>
      <c r="I42" s="6" t="s">
        <v>55</v>
      </c>
      <c r="J42" s="63">
        <f>'General inputs'!H115</f>
        <v>0</v>
      </c>
    </row>
    <row r="43" spans="1:12" x14ac:dyDescent="0.25">
      <c r="F43" s="6" t="s">
        <v>62</v>
      </c>
      <c r="H43" s="428" t="s">
        <v>63</v>
      </c>
      <c r="I43" s="6" t="s">
        <v>55</v>
      </c>
      <c r="J43" s="64">
        <f>'Standing charge factors'!H58</f>
        <v>0</v>
      </c>
    </row>
    <row r="44" spans="1:12" x14ac:dyDescent="0.25">
      <c r="F44" s="6" t="s">
        <v>64</v>
      </c>
      <c r="H44" s="428" t="s">
        <v>65</v>
      </c>
      <c r="I44" s="6" t="s">
        <v>55</v>
      </c>
      <c r="J44" s="64">
        <f>'Load &amp; loss characteristics'!H183</f>
        <v>0</v>
      </c>
    </row>
    <row r="45" spans="1:12" x14ac:dyDescent="0.25">
      <c r="F45" s="6" t="s">
        <v>66</v>
      </c>
      <c r="H45" s="428" t="s">
        <v>67</v>
      </c>
      <c r="I45" s="6" t="s">
        <v>55</v>
      </c>
      <c r="J45" s="64">
        <f>'Customer contributions'!H70</f>
        <v>0</v>
      </c>
    </row>
    <row r="46" spans="1:12" x14ac:dyDescent="0.25">
      <c r="F46" s="6" t="s">
        <v>68</v>
      </c>
      <c r="H46" s="428" t="s">
        <v>69</v>
      </c>
      <c r="I46" s="6" t="s">
        <v>55</v>
      </c>
      <c r="J46" s="64">
        <f>'Volume adjustments'!H693</f>
        <v>0</v>
      </c>
    </row>
    <row r="47" spans="1:12" x14ac:dyDescent="0.25">
      <c r="F47" s="6" t="s">
        <v>70</v>
      </c>
      <c r="H47" s="428" t="s">
        <v>71</v>
      </c>
      <c r="I47" s="6" t="s">
        <v>55</v>
      </c>
      <c r="J47" s="64">
        <f>'Pseudo-load coefficients'!H306</f>
        <v>0</v>
      </c>
    </row>
    <row r="48" spans="1:12" x14ac:dyDescent="0.25">
      <c r="F48" s="6" t="s">
        <v>72</v>
      </c>
      <c r="H48" s="428" t="s">
        <v>73</v>
      </c>
      <c r="I48" s="6" t="s">
        <v>55</v>
      </c>
      <c r="J48" s="64">
        <f>'System peak demand'!H281</f>
        <v>0</v>
      </c>
    </row>
    <row r="49" spans="6:10" x14ac:dyDescent="0.25">
      <c r="F49" s="6" t="s">
        <v>74</v>
      </c>
      <c r="H49" s="428" t="s">
        <v>75</v>
      </c>
      <c r="I49" s="6" t="s">
        <v>55</v>
      </c>
      <c r="J49" s="64">
        <f>'Service model assets'!H38</f>
        <v>0</v>
      </c>
    </row>
    <row r="50" spans="6:10" x14ac:dyDescent="0.25">
      <c r="F50" s="6" t="s">
        <v>76</v>
      </c>
      <c r="H50" s="428" t="s">
        <v>77</v>
      </c>
      <c r="I50" s="6" t="s">
        <v>55</v>
      </c>
      <c r="J50" s="64">
        <f>'Unit costs'!H131</f>
        <v>0</v>
      </c>
    </row>
    <row r="51" spans="6:10" x14ac:dyDescent="0.25">
      <c r="F51" s="6" t="s">
        <v>78</v>
      </c>
      <c r="H51" s="428" t="s">
        <v>79</v>
      </c>
      <c r="I51" s="6" t="s">
        <v>55</v>
      </c>
      <c r="J51" s="64">
        <f>'Initial unit rates'!H241</f>
        <v>0</v>
      </c>
    </row>
    <row r="52" spans="6:10" x14ac:dyDescent="0.25">
      <c r="F52" s="6" t="s">
        <v>80</v>
      </c>
      <c r="H52" s="428" t="s">
        <v>81</v>
      </c>
      <c r="I52" s="6" t="s">
        <v>55</v>
      </c>
      <c r="J52" s="64">
        <f>'Service model charges'!H48</f>
        <v>0</v>
      </c>
    </row>
    <row r="53" spans="6:10" x14ac:dyDescent="0.25">
      <c r="F53" s="6" t="s">
        <v>82</v>
      </c>
      <c r="H53" s="428" t="s">
        <v>83</v>
      </c>
      <c r="I53" s="6" t="s">
        <v>55</v>
      </c>
      <c r="J53" s="64">
        <f>'Unit rate charges'!H223</f>
        <v>0</v>
      </c>
    </row>
    <row r="54" spans="6:10" x14ac:dyDescent="0.25">
      <c r="F54" s="6" t="s">
        <v>86</v>
      </c>
      <c r="H54" s="428" t="s">
        <v>85</v>
      </c>
      <c r="I54" s="6" t="s">
        <v>55</v>
      </c>
      <c r="J54" s="64">
        <f>'Capacity charges'!H295</f>
        <v>0</v>
      </c>
    </row>
    <row r="55" spans="6:10" x14ac:dyDescent="0.25">
      <c r="F55" s="6" t="s">
        <v>84</v>
      </c>
      <c r="H55" s="428" t="s">
        <v>87</v>
      </c>
      <c r="I55" s="6" t="s">
        <v>55</v>
      </c>
      <c r="J55" s="64">
        <f>'Reactive power charges'!H254</f>
        <v>0</v>
      </c>
    </row>
    <row r="56" spans="6:10" x14ac:dyDescent="0.25">
      <c r="F56" s="6" t="s">
        <v>88</v>
      </c>
      <c r="H56" s="428" t="s">
        <v>89</v>
      </c>
      <c r="I56" s="6" t="s">
        <v>55</v>
      </c>
      <c r="J56" s="64">
        <f>'Fixed charges'!H165</f>
        <v>0</v>
      </c>
    </row>
    <row r="57" spans="6:10" x14ac:dyDescent="0.25">
      <c r="F57" s="6" t="s">
        <v>1141</v>
      </c>
      <c r="H57" s="428" t="s">
        <v>91</v>
      </c>
      <c r="I57" s="6" t="s">
        <v>55</v>
      </c>
      <c r="J57" s="64">
        <f>'SoLR &amp; bad debt adders'!H71</f>
        <v>0</v>
      </c>
    </row>
    <row r="58" spans="6:10" x14ac:dyDescent="0.25">
      <c r="F58" s="6" t="s">
        <v>90</v>
      </c>
      <c r="H58" s="428" t="s">
        <v>93</v>
      </c>
      <c r="I58" s="6" t="s">
        <v>55</v>
      </c>
      <c r="J58" s="64">
        <f>'Revenue matching'!H433</f>
        <v>0</v>
      </c>
    </row>
    <row r="59" spans="6:10" x14ac:dyDescent="0.25">
      <c r="F59" s="6" t="s">
        <v>92</v>
      </c>
      <c r="H59" s="428" t="s">
        <v>95</v>
      </c>
      <c r="I59" s="6" t="s">
        <v>55</v>
      </c>
      <c r="J59" s="64">
        <f>Rounding!H178</f>
        <v>0</v>
      </c>
    </row>
    <row r="60" spans="6:10" x14ac:dyDescent="0.25">
      <c r="F60" s="6" t="s">
        <v>94</v>
      </c>
      <c r="H60" s="428" t="s">
        <v>881</v>
      </c>
      <c r="I60" s="6" t="s">
        <v>55</v>
      </c>
      <c r="J60" s="63">
        <f>'Net revenue summary'!$H$211</f>
        <v>0</v>
      </c>
    </row>
    <row r="61" spans="6:10" x14ac:dyDescent="0.25">
      <c r="F61" s="6" t="s">
        <v>96</v>
      </c>
      <c r="H61" s="428" t="s">
        <v>97</v>
      </c>
      <c r="I61" s="6" t="s">
        <v>55</v>
      </c>
      <c r="J61" s="64">
        <f>'Tariff summary'!$H$119</f>
        <v>0</v>
      </c>
    </row>
    <row r="62" spans="6:10" x14ac:dyDescent="0.25">
      <c r="F62" s="6" t="s">
        <v>98</v>
      </c>
      <c r="H62" s="428" t="s">
        <v>99</v>
      </c>
      <c r="I62" s="6" t="s">
        <v>55</v>
      </c>
      <c r="J62" s="63">
        <f>'Output to other models'!H84</f>
        <v>0</v>
      </c>
    </row>
    <row r="63" spans="6:10" x14ac:dyDescent="0.25">
      <c r="F63" s="65" t="s">
        <v>100</v>
      </c>
      <c r="G63" s="65"/>
      <c r="H63" s="65"/>
      <c r="I63" s="65" t="s">
        <v>55</v>
      </c>
      <c r="J63" s="66">
        <f>IFERROR(SUM(J39:J62), 1)</f>
        <v>0</v>
      </c>
    </row>
    <row r="65" spans="2:12" x14ac:dyDescent="0.25">
      <c r="B65" s="49" t="s">
        <v>101</v>
      </c>
      <c r="C65" s="49"/>
      <c r="D65" s="49"/>
      <c r="E65" s="49"/>
      <c r="F65" s="49"/>
      <c r="G65" s="50"/>
      <c r="H65" s="50"/>
      <c r="I65" s="50"/>
      <c r="J65" s="50"/>
      <c r="K65" s="50"/>
      <c r="L65" s="49"/>
    </row>
    <row r="67" spans="2:12" x14ac:dyDescent="0.25">
      <c r="F67" s="59" t="s">
        <v>102</v>
      </c>
    </row>
    <row r="68" spans="2:12" x14ac:dyDescent="0.25">
      <c r="F68" s="428" t="s">
        <v>103</v>
      </c>
    </row>
    <row r="69" spans="2:12" x14ac:dyDescent="0.25">
      <c r="F69" s="428" t="s">
        <v>104</v>
      </c>
    </row>
    <row r="70" spans="2:12" x14ac:dyDescent="0.25">
      <c r="F70" s="428" t="s">
        <v>44</v>
      </c>
    </row>
    <row r="71" spans="2:12" ht="30" x14ac:dyDescent="0.25">
      <c r="F71" s="429" t="s">
        <v>820</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105</v>
      </c>
    </row>
    <row r="80" spans="2:12" x14ac:dyDescent="0.25">
      <c r="B80" s="49" t="s">
        <v>106</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39:J63">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xr:uid="{00000000-0002-0000-0100-000000000000}">
      <formula1>0</formula1>
    </dataValidation>
    <dataValidation type="date" operator="greaterThan" allowBlank="1" showInputMessage="1" showErrorMessage="1" promptTitle="Model date" prompt="Input a date" sqref="F20:F28 F33:F34"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xr:uid="{00000000-0002-0000-0100-000001000000}">
      <formula1>$F$68:$F$78</formula1>
    </dataValidation>
    <dataValidation allowBlank="1" showErrorMessage="1" errorTitle="Author" error="Initials must be selected from the list specified below" promptTitle="Author" prompt="Select author initials from the list specified below" sqref="K29:K33"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8" location="'Cover'!A1" display="Cover" xr:uid="{00000000-0004-0000-0100-000000000000}"/>
    <hyperlink ref="I69" location="'Version control'!A1" display="Version control" xr:uid="{00000000-0004-0000-0100-000001000000}"/>
    <hyperlink ref="I78" location="'Model map'!A1" display="Model map" xr:uid="{00000000-0004-0000-0100-000002000000}"/>
    <hyperlink ref="I79"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645</v>
      </c>
      <c r="D9"/>
    </row>
    <row r="10" spans="1:27" x14ac:dyDescent="0.25">
      <c r="C10" s="71" t="s">
        <v>646</v>
      </c>
      <c r="D10"/>
      <c r="E10"/>
    </row>
    <row r="11" spans="1:27" x14ac:dyDescent="0.25">
      <c r="C11" s="71" t="s">
        <v>647</v>
      </c>
      <c r="D11"/>
      <c r="E11"/>
    </row>
    <row r="12" spans="1:27" x14ac:dyDescent="0.25">
      <c r="C12" s="71" t="s">
        <v>648</v>
      </c>
    </row>
    <row r="13" spans="1:27" x14ac:dyDescent="0.25">
      <c r="C13" s="71" t="s">
        <v>649</v>
      </c>
      <c r="D13"/>
    </row>
    <row r="15" spans="1:27" x14ac:dyDescent="0.25">
      <c r="B15" s="70" t="s">
        <v>650</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651</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619</v>
      </c>
    </row>
    <row r="22" spans="3:27" x14ac:dyDescent="0.25">
      <c r="D22"/>
      <c r="F22" s="90" t="s">
        <v>189</v>
      </c>
      <c r="G22" s="90" t="s">
        <v>269</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191</v>
      </c>
      <c r="G23" t="s">
        <v>269</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192</v>
      </c>
      <c r="G24" t="s">
        <v>269</v>
      </c>
      <c r="H24" s="266"/>
      <c r="I24" s="266"/>
      <c r="J24" s="277">
        <f>'Initial unit rates'!J154</f>
        <v>0</v>
      </c>
      <c r="K24" s="277">
        <f>'Initial unit rates'!K154</f>
        <v>0</v>
      </c>
      <c r="L24" s="277">
        <f>'Initial unit rates'!L154</f>
        <v>0</v>
      </c>
      <c r="M24" s="277">
        <f>'Initial unit rates'!M154</f>
        <v>0</v>
      </c>
      <c r="N24" s="277">
        <f>'Initial unit rates'!N154</f>
        <v>0</v>
      </c>
      <c r="O24" s="277">
        <f>'Initial unit rates'!O154</f>
        <v>0</v>
      </c>
      <c r="P24" s="277">
        <f>'Initial unit rates'!P154</f>
        <v>0</v>
      </c>
      <c r="Q24" s="277">
        <f>'Initial unit rates'!Q154</f>
        <v>0</v>
      </c>
      <c r="R24" s="277">
        <f>'Initial unit rates'!R154</f>
        <v>0</v>
      </c>
      <c r="S24" s="277">
        <f>'Initial unit rates'!S154</f>
        <v>0</v>
      </c>
      <c r="T24" s="277">
        <f>'Initial unit rates'!T154</f>
        <v>0</v>
      </c>
      <c r="U24" s="277">
        <f>'Initial unit rates'!U154</f>
        <v>0</v>
      </c>
      <c r="V24" s="277">
        <f>'Initial unit rates'!V154</f>
        <v>0</v>
      </c>
      <c r="W24" s="277">
        <f>'Initial unit rates'!W154</f>
        <v>0</v>
      </c>
      <c r="X24" s="277">
        <f>'Initial unit rates'!X154</f>
        <v>0</v>
      </c>
      <c r="Y24" s="277">
        <f>'Initial unit rates'!Y154</f>
        <v>0</v>
      </c>
      <c r="Z24" s="266"/>
      <c r="AA24" s="266"/>
    </row>
    <row r="25" spans="3:27" x14ac:dyDescent="0.25">
      <c r="D25"/>
      <c r="F25" t="s">
        <v>193</v>
      </c>
      <c r="G25" t="s">
        <v>269</v>
      </c>
      <c r="H25" s="266"/>
      <c r="I25" s="266"/>
      <c r="J25" s="277">
        <f>'Initial unit rates'!J155</f>
        <v>0</v>
      </c>
      <c r="K25" s="277">
        <f>'Initial unit rates'!K155</f>
        <v>0</v>
      </c>
      <c r="L25" s="277">
        <f>'Initial unit rates'!L155</f>
        <v>0</v>
      </c>
      <c r="M25" s="277">
        <f>'Initial unit rates'!M155</f>
        <v>0</v>
      </c>
      <c r="N25" s="277">
        <f>'Initial unit rates'!N155</f>
        <v>0</v>
      </c>
      <c r="O25" s="277">
        <f>'Initial unit rates'!O155</f>
        <v>0</v>
      </c>
      <c r="P25" s="277">
        <f>'Initial unit rates'!P155</f>
        <v>0</v>
      </c>
      <c r="Q25" s="277">
        <f>'Initial unit rates'!Q155</f>
        <v>0</v>
      </c>
      <c r="R25" s="277">
        <f>'Initial unit rates'!R155</f>
        <v>0</v>
      </c>
      <c r="S25" s="277">
        <f>'Initial unit rates'!S155</f>
        <v>0</v>
      </c>
      <c r="T25" s="277">
        <f>'Initial unit rates'!T155</f>
        <v>0</v>
      </c>
      <c r="U25" s="277">
        <f>'Initial unit rates'!U155</f>
        <v>0</v>
      </c>
      <c r="V25" s="277">
        <f>'Initial unit rates'!V155</f>
        <v>0</v>
      </c>
      <c r="W25" s="277">
        <f>'Initial unit rates'!W155</f>
        <v>0</v>
      </c>
      <c r="X25" s="277">
        <f>'Initial unit rates'!X155</f>
        <v>0</v>
      </c>
      <c r="Y25" s="277">
        <f>'Initial unit rates'!Y155</f>
        <v>0</v>
      </c>
      <c r="Z25" s="266"/>
      <c r="AA25" s="266"/>
    </row>
    <row r="26" spans="3:27" x14ac:dyDescent="0.25">
      <c r="D26"/>
      <c r="F26" t="s">
        <v>194</v>
      </c>
      <c r="G26" t="s">
        <v>269</v>
      </c>
      <c r="H26" s="266"/>
      <c r="I26" s="266"/>
      <c r="J26" s="277">
        <f>'Initial unit rates'!J156</f>
        <v>2.5263300972532501</v>
      </c>
      <c r="K26" s="277">
        <f>'Initial unit rates'!K156</f>
        <v>2.5263300972532501</v>
      </c>
      <c r="L26" s="277">
        <f>'Initial unit rates'!L156</f>
        <v>2.9017422445193244</v>
      </c>
      <c r="M26" s="277">
        <f>'Initial unit rates'!M156</f>
        <v>2.9017422445193244</v>
      </c>
      <c r="N26" s="277">
        <f>'Initial unit rates'!N156</f>
        <v>2.5404425714400705</v>
      </c>
      <c r="O26" s="277">
        <f>'Initial unit rates'!O156</f>
        <v>2.025235483443836</v>
      </c>
      <c r="P26" s="277">
        <f>'Initial unit rates'!P156</f>
        <v>1.9589057352974144</v>
      </c>
      <c r="Q26" s="277">
        <f>'Initial unit rates'!Q156</f>
        <v>5.8166154204280804</v>
      </c>
      <c r="R26" s="277">
        <f>'Initial unit rates'!R156</f>
        <v>-1.8655125600822102</v>
      </c>
      <c r="S26" s="277">
        <f>'Initial unit rates'!S156</f>
        <v>-1.7561723288781133</v>
      </c>
      <c r="T26" s="277">
        <f>'Initial unit rates'!T156</f>
        <v>-1.8655125600822102</v>
      </c>
      <c r="U26" s="277">
        <f>'Initial unit rates'!U156</f>
        <v>-1.8655125600822102</v>
      </c>
      <c r="V26" s="277">
        <f>'Initial unit rates'!V156</f>
        <v>-1.7561723288781133</v>
      </c>
      <c r="W26" s="277">
        <f>'Initial unit rates'!W156</f>
        <v>-1.7561723288781133</v>
      </c>
      <c r="X26" s="277">
        <f>'Initial unit rates'!X156</f>
        <v>-1.7242113382184541</v>
      </c>
      <c r="Y26" s="277">
        <f>'Initial unit rates'!Y156</f>
        <v>-1.7242113382184541</v>
      </c>
      <c r="Z26" s="266"/>
      <c r="AA26" s="266"/>
    </row>
    <row r="27" spans="3:27" x14ac:dyDescent="0.25">
      <c r="D27"/>
      <c r="F27" t="s">
        <v>195</v>
      </c>
      <c r="G27" t="s">
        <v>269</v>
      </c>
      <c r="H27" s="266"/>
      <c r="I27" s="266"/>
      <c r="J27" s="277">
        <f>'Initial unit rates'!J157</f>
        <v>0.5194030656159655</v>
      </c>
      <c r="K27" s="277">
        <f>'Initial unit rates'!K157</f>
        <v>0.5194030656159655</v>
      </c>
      <c r="L27" s="277">
        <f>'Initial unit rates'!L157</f>
        <v>0.59658625730238612</v>
      </c>
      <c r="M27" s="277">
        <f>'Initial unit rates'!M157</f>
        <v>0.59658625730238612</v>
      </c>
      <c r="N27" s="277">
        <f>'Initial unit rates'!N157</f>
        <v>0.5223045321994616</v>
      </c>
      <c r="O27" s="277">
        <f>'Initial unit rates'!O157</f>
        <v>0.41638007631649254</v>
      </c>
      <c r="P27" s="277">
        <f>'Initial unit rates'!P157</f>
        <v>0.40274295321597442</v>
      </c>
      <c r="Q27" s="277">
        <f>'Initial unit rates'!Q157</f>
        <v>1.2376706046830337</v>
      </c>
      <c r="R27" s="277">
        <f>'Initial unit rates'!R157</f>
        <v>-0.38354170094608026</v>
      </c>
      <c r="S27" s="277">
        <f>'Initial unit rates'!S157</f>
        <v>-0.36106179962823071</v>
      </c>
      <c r="T27" s="277">
        <f>'Initial unit rates'!T157</f>
        <v>-0.38354170094608026</v>
      </c>
      <c r="U27" s="277">
        <f>'Initial unit rates'!U157</f>
        <v>-0.38354170094608026</v>
      </c>
      <c r="V27" s="277">
        <f>'Initial unit rates'!V157</f>
        <v>-0.36106179962823071</v>
      </c>
      <c r="W27" s="277">
        <f>'Initial unit rates'!W157</f>
        <v>-0.36106179962823071</v>
      </c>
      <c r="X27" s="277">
        <f>'Initial unit rates'!X157</f>
        <v>-0.35449075155070536</v>
      </c>
      <c r="Y27" s="277">
        <f>'Initial unit rates'!Y157</f>
        <v>-0.35449075155070536</v>
      </c>
      <c r="Z27" s="266"/>
      <c r="AA27" s="266"/>
    </row>
    <row r="28" spans="3:27" x14ac:dyDescent="0.25">
      <c r="D28"/>
      <c r="F28" t="s">
        <v>196</v>
      </c>
      <c r="G28" t="s">
        <v>269</v>
      </c>
      <c r="H28" s="266"/>
      <c r="I28" s="266"/>
      <c r="J28" s="277">
        <f>'Initial unit rates'!J158</f>
        <v>0</v>
      </c>
      <c r="K28" s="277">
        <f>'Initial unit rates'!K158</f>
        <v>0</v>
      </c>
      <c r="L28" s="277">
        <f>'Initial unit rates'!L158</f>
        <v>0</v>
      </c>
      <c r="M28" s="277">
        <f>'Initial unit rates'!M158</f>
        <v>0</v>
      </c>
      <c r="N28" s="277">
        <f>'Initial unit rates'!N158</f>
        <v>0</v>
      </c>
      <c r="O28" s="277">
        <f>'Initial unit rates'!O158</f>
        <v>0</v>
      </c>
      <c r="P28" s="277">
        <f>'Initial unit rates'!P158</f>
        <v>0</v>
      </c>
      <c r="Q28" s="277">
        <f>'Initial unit rates'!Q158</f>
        <v>0</v>
      </c>
      <c r="R28" s="277">
        <f>'Initial unit rates'!R158</f>
        <v>0</v>
      </c>
      <c r="S28" s="277">
        <f>'Initial unit rates'!S158</f>
        <v>0</v>
      </c>
      <c r="T28" s="277">
        <f>'Initial unit rates'!T158</f>
        <v>0</v>
      </c>
      <c r="U28" s="277">
        <f>'Initial unit rates'!U158</f>
        <v>0</v>
      </c>
      <c r="V28" s="277">
        <f>'Initial unit rates'!V158</f>
        <v>0</v>
      </c>
      <c r="W28" s="277">
        <f>'Initial unit rates'!W158</f>
        <v>0</v>
      </c>
      <c r="X28" s="277">
        <f>'Initial unit rates'!X158</f>
        <v>0</v>
      </c>
      <c r="Y28" s="277">
        <f>'Initial unit rates'!Y158</f>
        <v>0</v>
      </c>
      <c r="Z28" s="266"/>
      <c r="AA28" s="266"/>
    </row>
    <row r="29" spans="3:27" x14ac:dyDescent="0.25">
      <c r="D29"/>
      <c r="F29" t="s">
        <v>197</v>
      </c>
      <c r="G29" t="s">
        <v>269</v>
      </c>
      <c r="H29" s="266"/>
      <c r="I29" s="266"/>
      <c r="J29" s="277">
        <f>'Initial unit rates'!J159</f>
        <v>2.2344865391360926</v>
      </c>
      <c r="K29" s="277">
        <f>'Initial unit rates'!K159</f>
        <v>2.2344865391360926</v>
      </c>
      <c r="L29" s="277">
        <f>'Initial unit rates'!L159</f>
        <v>2.566530792025397</v>
      </c>
      <c r="M29" s="277">
        <f>'Initial unit rates'!M159</f>
        <v>2.566530792025397</v>
      </c>
      <c r="N29" s="277">
        <f>'Initial unit rates'!N159</f>
        <v>2.2469687296616465</v>
      </c>
      <c r="O29" s="277">
        <f>'Initial unit rates'!O159</f>
        <v>1.7912787530244858</v>
      </c>
      <c r="P29" s="277">
        <f>'Initial unit rates'!P159</f>
        <v>1.7326114674078468</v>
      </c>
      <c r="Q29" s="277">
        <f>'Initial unit rates'!Q159</f>
        <v>5.3244936141625629</v>
      </c>
      <c r="R29" s="277">
        <f>'Initial unit rates'!R159</f>
        <v>-1.6500071422278375</v>
      </c>
      <c r="S29" s="277">
        <f>'Initial unit rates'!S159</f>
        <v>-1.5532979769935642</v>
      </c>
      <c r="T29" s="277">
        <f>'Initial unit rates'!T159</f>
        <v>-1.6500071422278375</v>
      </c>
      <c r="U29" s="277">
        <f>'Initial unit rates'!U159</f>
        <v>-1.6500071422278375</v>
      </c>
      <c r="V29" s="277">
        <f>'Initial unit rates'!V159</f>
        <v>-1.5532979769935642</v>
      </c>
      <c r="W29" s="277">
        <f>'Initial unit rates'!W159</f>
        <v>-1.5532979769935642</v>
      </c>
      <c r="X29" s="277">
        <f>'Initial unit rates'!X159</f>
        <v>0</v>
      </c>
      <c r="Y29" s="277">
        <f>'Initial unit rates'!Y159</f>
        <v>0</v>
      </c>
      <c r="Z29" s="266"/>
      <c r="AA29" s="266"/>
    </row>
    <row r="30" spans="3:27" x14ac:dyDescent="0.25">
      <c r="D30"/>
      <c r="F30" t="s">
        <v>198</v>
      </c>
      <c r="G30" t="s">
        <v>269</v>
      </c>
      <c r="H30" s="266"/>
      <c r="I30" s="266"/>
      <c r="J30" s="277">
        <f>'Initial unit rates'!J160</f>
        <v>0.56158973772189924</v>
      </c>
      <c r="K30" s="277">
        <f>'Initial unit rates'!K160</f>
        <v>0.56158973772189924</v>
      </c>
      <c r="L30" s="277">
        <f>'Initial unit rates'!L160</f>
        <v>0.6450418604472673</v>
      </c>
      <c r="M30" s="277">
        <f>'Initial unit rates'!M160</f>
        <v>0.6450418604472673</v>
      </c>
      <c r="N30" s="277">
        <f>'Initial unit rates'!N160</f>
        <v>0.56472686563950603</v>
      </c>
      <c r="O30" s="277">
        <f>'Initial unit rates'!O160</f>
        <v>0.45019907145502946</v>
      </c>
      <c r="P30" s="277">
        <f>'Initial unit rates'!P160</f>
        <v>0</v>
      </c>
      <c r="Q30" s="277">
        <f>'Initial unit rates'!Q160</f>
        <v>1.3381960105409982</v>
      </c>
      <c r="R30" s="277">
        <f>'Initial unit rates'!R160</f>
        <v>-0.41469351549606936</v>
      </c>
      <c r="S30" s="277">
        <f>'Initial unit rates'!S160</f>
        <v>0</v>
      </c>
      <c r="T30" s="277">
        <f>'Initial unit rates'!T160</f>
        <v>-0.41469351549606936</v>
      </c>
      <c r="U30" s="277">
        <f>'Initial unit rates'!U160</f>
        <v>-0.41469351549606936</v>
      </c>
      <c r="V30" s="277">
        <f>'Initial unit rates'!V160</f>
        <v>0</v>
      </c>
      <c r="W30" s="277">
        <f>'Initial unit rates'!W160</f>
        <v>0</v>
      </c>
      <c r="X30" s="277">
        <f>'Initial unit rates'!X160</f>
        <v>0</v>
      </c>
      <c r="Y30" s="277">
        <f>'Initial unit rates'!Y160</f>
        <v>0</v>
      </c>
      <c r="Z30" s="266"/>
      <c r="AA30" s="266"/>
    </row>
    <row r="31" spans="3:27" x14ac:dyDescent="0.25">
      <c r="D31"/>
      <c r="F31" t="s">
        <v>199</v>
      </c>
      <c r="G31" t="s">
        <v>269</v>
      </c>
      <c r="H31" s="266"/>
      <c r="I31" s="266"/>
      <c r="J31" s="277">
        <f>'Initial unit rates'!J161</f>
        <v>0.94461169403915057</v>
      </c>
      <c r="K31" s="277">
        <f>'Initial unit rates'!K161</f>
        <v>0.94461169403915057</v>
      </c>
      <c r="L31" s="277">
        <f>'Initial unit rates'!L161</f>
        <v>1.0849808028810395</v>
      </c>
      <c r="M31" s="277">
        <f>'Initial unit rates'!M161</f>
        <v>1.0849808028810395</v>
      </c>
      <c r="N31" s="277">
        <f>'Initial unit rates'!N161</f>
        <v>0.94988844237983261</v>
      </c>
      <c r="O31" s="277">
        <f>'Initial unit rates'!O161</f>
        <v>0</v>
      </c>
      <c r="P31" s="277">
        <f>'Initial unit rates'!P161</f>
        <v>0</v>
      </c>
      <c r="Q31" s="277">
        <f>'Initial unit rates'!Q161</f>
        <v>2.2508879980629897</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375</v>
      </c>
      <c r="G32" s="90" t="s">
        <v>269</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376</v>
      </c>
      <c r="G33" s="91" t="s">
        <v>269</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620</v>
      </c>
      <c r="J35" s="101"/>
      <c r="K35" s="101"/>
      <c r="L35" s="101"/>
      <c r="M35" s="101"/>
      <c r="N35" s="101"/>
      <c r="O35" s="101"/>
      <c r="P35" s="101"/>
      <c r="Q35" s="101"/>
      <c r="R35" s="101"/>
      <c r="S35" s="101"/>
      <c r="T35" s="101"/>
      <c r="U35" s="101"/>
      <c r="V35" s="101"/>
      <c r="W35" s="101"/>
      <c r="X35" s="101"/>
      <c r="Y35" s="101"/>
    </row>
    <row r="36" spans="4:27" x14ac:dyDescent="0.25">
      <c r="D36"/>
      <c r="F36" s="90" t="s">
        <v>189</v>
      </c>
      <c r="G36" s="90" t="s">
        <v>269</v>
      </c>
      <c r="H36" s="264"/>
      <c r="I36" s="264"/>
      <c r="J36" s="276">
        <f>'Initial unit rates'!J164</f>
        <v>1.5383876244277608</v>
      </c>
      <c r="K36" s="276">
        <f>'Initial unit rates'!K164</f>
        <v>1.5383876244277608</v>
      </c>
      <c r="L36" s="276">
        <f>'Initial unit rates'!L164</f>
        <v>1.7669917177890753</v>
      </c>
      <c r="M36" s="276">
        <f>'Initial unit rates'!M164</f>
        <v>1.7669917177890753</v>
      </c>
      <c r="N36" s="276">
        <f>'Initial unit rates'!N164</f>
        <v>1.5469812977813204</v>
      </c>
      <c r="O36" s="276">
        <f>'Initial unit rates'!O164</f>
        <v>1.2332502421870366</v>
      </c>
      <c r="P36" s="276">
        <f>'Initial unit rates'!P164</f>
        <v>1.19285929573439</v>
      </c>
      <c r="Q36" s="276">
        <f>'Initial unit rates'!Q164</f>
        <v>3.5419794066385726</v>
      </c>
      <c r="R36" s="276">
        <f>'Initial unit rates'!R164</f>
        <v>-1.135988301277532</v>
      </c>
      <c r="S36" s="276">
        <f>'Initial unit rates'!S164</f>
        <v>-1.0694064801927354</v>
      </c>
      <c r="T36" s="276">
        <f>'Initial unit rates'!T164</f>
        <v>-1.135988301277532</v>
      </c>
      <c r="U36" s="276">
        <f>'Initial unit rates'!U164</f>
        <v>-1.135988301277532</v>
      </c>
      <c r="V36" s="276">
        <f>'Initial unit rates'!V164</f>
        <v>-1.0694064801927354</v>
      </c>
      <c r="W36" s="276">
        <f>'Initial unit rates'!W164</f>
        <v>-1.0694064801927354</v>
      </c>
      <c r="X36" s="276">
        <f>'Initial unit rates'!X164</f>
        <v>-1.0499441017217945</v>
      </c>
      <c r="Y36" s="276">
        <f>'Initial unit rates'!Y164</f>
        <v>-1.0499441017217945</v>
      </c>
      <c r="Z36" s="266"/>
      <c r="AA36" s="266"/>
    </row>
    <row r="37" spans="4:27" x14ac:dyDescent="0.25">
      <c r="D37"/>
      <c r="F37" t="s">
        <v>191</v>
      </c>
      <c r="G37" t="s">
        <v>269</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192</v>
      </c>
      <c r="G38" t="s">
        <v>269</v>
      </c>
      <c r="H38" s="266"/>
      <c r="I38" s="266"/>
      <c r="J38" s="277">
        <f>'Initial unit rates'!J166</f>
        <v>0</v>
      </c>
      <c r="K38" s="277">
        <f>'Initial unit rates'!K166</f>
        <v>0</v>
      </c>
      <c r="L38" s="277">
        <f>'Initial unit rates'!L166</f>
        <v>0</v>
      </c>
      <c r="M38" s="277">
        <f>'Initial unit rates'!M166</f>
        <v>0</v>
      </c>
      <c r="N38" s="277">
        <f>'Initial unit rates'!N166</f>
        <v>0</v>
      </c>
      <c r="O38" s="277">
        <f>'Initial unit rates'!O166</f>
        <v>0</v>
      </c>
      <c r="P38" s="277">
        <f>'Initial unit rates'!P166</f>
        <v>0</v>
      </c>
      <c r="Q38" s="277">
        <f>'Initial unit rates'!Q166</f>
        <v>0</v>
      </c>
      <c r="R38" s="277">
        <f>'Initial unit rates'!R166</f>
        <v>0</v>
      </c>
      <c r="S38" s="277">
        <f>'Initial unit rates'!S166</f>
        <v>0</v>
      </c>
      <c r="T38" s="277">
        <f>'Initial unit rates'!T166</f>
        <v>0</v>
      </c>
      <c r="U38" s="277">
        <f>'Initial unit rates'!U166</f>
        <v>0</v>
      </c>
      <c r="V38" s="277">
        <f>'Initial unit rates'!V166</f>
        <v>0</v>
      </c>
      <c r="W38" s="277">
        <f>'Initial unit rates'!W166</f>
        <v>0</v>
      </c>
      <c r="X38" s="277">
        <f>'Initial unit rates'!X166</f>
        <v>0</v>
      </c>
      <c r="Y38" s="277">
        <f>'Initial unit rates'!Y166</f>
        <v>0</v>
      </c>
      <c r="Z38" s="266"/>
      <c r="AA38" s="266"/>
    </row>
    <row r="39" spans="4:27" x14ac:dyDescent="0.25">
      <c r="D39"/>
      <c r="F39" t="s">
        <v>193</v>
      </c>
      <c r="G39" t="s">
        <v>269</v>
      </c>
      <c r="H39" s="266"/>
      <c r="I39" s="266"/>
      <c r="J39" s="277">
        <f>'Initial unit rates'!J167</f>
        <v>0</v>
      </c>
      <c r="K39" s="277">
        <f>'Initial unit rates'!K167</f>
        <v>0</v>
      </c>
      <c r="L39" s="277">
        <f>'Initial unit rates'!L167</f>
        <v>0</v>
      </c>
      <c r="M39" s="277">
        <f>'Initial unit rates'!M167</f>
        <v>0</v>
      </c>
      <c r="N39" s="277">
        <f>'Initial unit rates'!N167</f>
        <v>0</v>
      </c>
      <c r="O39" s="277">
        <f>'Initial unit rates'!O167</f>
        <v>0</v>
      </c>
      <c r="P39" s="277">
        <f>'Initial unit rates'!P167</f>
        <v>0</v>
      </c>
      <c r="Q39" s="277">
        <f>'Initial unit rates'!Q167</f>
        <v>0</v>
      </c>
      <c r="R39" s="277">
        <f>'Initial unit rates'!R167</f>
        <v>0</v>
      </c>
      <c r="S39" s="277">
        <f>'Initial unit rates'!S167</f>
        <v>0</v>
      </c>
      <c r="T39" s="277">
        <f>'Initial unit rates'!T167</f>
        <v>0</v>
      </c>
      <c r="U39" s="277">
        <f>'Initial unit rates'!U167</f>
        <v>0</v>
      </c>
      <c r="V39" s="277">
        <f>'Initial unit rates'!V167</f>
        <v>0</v>
      </c>
      <c r="W39" s="277">
        <f>'Initial unit rates'!W167</f>
        <v>0</v>
      </c>
      <c r="X39" s="277">
        <f>'Initial unit rates'!X167</f>
        <v>0</v>
      </c>
      <c r="Y39" s="277">
        <f>'Initial unit rates'!Y167</f>
        <v>0</v>
      </c>
      <c r="Z39" s="266"/>
      <c r="AA39" s="266"/>
    </row>
    <row r="40" spans="4:27" x14ac:dyDescent="0.25">
      <c r="D40"/>
      <c r="F40" t="s">
        <v>194</v>
      </c>
      <c r="G40" t="s">
        <v>269</v>
      </c>
      <c r="H40" s="266"/>
      <c r="I40" s="266"/>
      <c r="J40" s="277">
        <f>'Initial unit rates'!J168</f>
        <v>1.8934749670098119</v>
      </c>
      <c r="K40" s="277">
        <f>'Initial unit rates'!K168</f>
        <v>1.8934749670098119</v>
      </c>
      <c r="L40" s="277">
        <f>'Initial unit rates'!L168</f>
        <v>2.1748449684726316</v>
      </c>
      <c r="M40" s="277">
        <f>'Initial unit rates'!M168</f>
        <v>2.1748449684726316</v>
      </c>
      <c r="N40" s="277">
        <f>'Initial unit rates'!N168</f>
        <v>1.9040522136745963</v>
      </c>
      <c r="O40" s="277">
        <f>'Initial unit rates'!O168</f>
        <v>1.5179064265474362</v>
      </c>
      <c r="P40" s="277">
        <f>'Initial unit rates'!P168</f>
        <v>1.4681925281855921</v>
      </c>
      <c r="Q40" s="277">
        <f>'Initial unit rates'!Q168</f>
        <v>4.3595315209514247</v>
      </c>
      <c r="R40" s="277">
        <f>'Initial unit rates'!R168</f>
        <v>-1.3981946923715725</v>
      </c>
      <c r="S40" s="277">
        <f>'Initial unit rates'!S168</f>
        <v>-1.3162445976879367</v>
      </c>
      <c r="T40" s="277">
        <f>'Initial unit rates'!T168</f>
        <v>-1.3981946923715725</v>
      </c>
      <c r="U40" s="277">
        <f>'Initial unit rates'!U168</f>
        <v>-1.3981946923715725</v>
      </c>
      <c r="V40" s="277">
        <f>'Initial unit rates'!V168</f>
        <v>-1.3162445976879367</v>
      </c>
      <c r="W40" s="277">
        <f>'Initial unit rates'!W168</f>
        <v>-1.3162445976879367</v>
      </c>
      <c r="X40" s="277">
        <f>'Initial unit rates'!X168</f>
        <v>-1.292289954626566</v>
      </c>
      <c r="Y40" s="277">
        <f>'Initial unit rates'!Y168</f>
        <v>-1.292289954626566</v>
      </c>
      <c r="Z40" s="266"/>
      <c r="AA40" s="266"/>
    </row>
    <row r="41" spans="4:27" x14ac:dyDescent="0.25">
      <c r="D41"/>
      <c r="F41" t="s">
        <v>195</v>
      </c>
      <c r="G41" t="s">
        <v>269</v>
      </c>
      <c r="H41" s="266"/>
      <c r="I41" s="266"/>
      <c r="J41" s="277">
        <f>'Initial unit rates'!J169</f>
        <v>0.38929065667280344</v>
      </c>
      <c r="K41" s="277">
        <f>'Initial unit rates'!K169</f>
        <v>0.38929065667280344</v>
      </c>
      <c r="L41" s="277">
        <f>'Initial unit rates'!L169</f>
        <v>0.44713917040861834</v>
      </c>
      <c r="M41" s="277">
        <f>'Initial unit rates'!M169</f>
        <v>0.44713917040861834</v>
      </c>
      <c r="N41" s="277">
        <f>'Initial unit rates'!N169</f>
        <v>0.39146529503436928</v>
      </c>
      <c r="O41" s="277">
        <f>'Initial unit rates'!O169</f>
        <v>0.31207531118918558</v>
      </c>
      <c r="P41" s="277">
        <f>'Initial unit rates'!P169</f>
        <v>0.30185433838720027</v>
      </c>
      <c r="Q41" s="277">
        <f>'Initial unit rates'!Q169</f>
        <v>0.92762949304177889</v>
      </c>
      <c r="R41" s="277">
        <f>'Initial unit rates'!R169</f>
        <v>-0.28746307156588735</v>
      </c>
      <c r="S41" s="277">
        <f>'Initial unit rates'!S169</f>
        <v>-0.27061446953542517</v>
      </c>
      <c r="T41" s="277">
        <f>'Initial unit rates'!T169</f>
        <v>-0.28746307156588735</v>
      </c>
      <c r="U41" s="277">
        <f>'Initial unit rates'!U169</f>
        <v>-0.28746307156588735</v>
      </c>
      <c r="V41" s="277">
        <f>'Initial unit rates'!V169</f>
        <v>-0.27061446953542517</v>
      </c>
      <c r="W41" s="277">
        <f>'Initial unit rates'!W169</f>
        <v>-0.27061446953542517</v>
      </c>
      <c r="X41" s="277">
        <f>'Initial unit rates'!X169</f>
        <v>-0.26568949355728994</v>
      </c>
      <c r="Y41" s="277">
        <f>'Initial unit rates'!Y169</f>
        <v>-0.26568949355728994</v>
      </c>
      <c r="Z41" s="266"/>
      <c r="AA41" s="266"/>
    </row>
    <row r="42" spans="4:27" x14ac:dyDescent="0.25">
      <c r="D42"/>
      <c r="F42" t="s">
        <v>196</v>
      </c>
      <c r="G42" t="s">
        <v>269</v>
      </c>
      <c r="H42" s="266"/>
      <c r="I42" s="266"/>
      <c r="J42" s="277">
        <f>'Initial unit rates'!J170</f>
        <v>0</v>
      </c>
      <c r="K42" s="277">
        <f>'Initial unit rates'!K170</f>
        <v>0</v>
      </c>
      <c r="L42" s="277">
        <f>'Initial unit rates'!L170</f>
        <v>0</v>
      </c>
      <c r="M42" s="277">
        <f>'Initial unit rates'!M170</f>
        <v>0</v>
      </c>
      <c r="N42" s="277">
        <f>'Initial unit rates'!N170</f>
        <v>0</v>
      </c>
      <c r="O42" s="277">
        <f>'Initial unit rates'!O170</f>
        <v>0</v>
      </c>
      <c r="P42" s="277">
        <f>'Initial unit rates'!P170</f>
        <v>0</v>
      </c>
      <c r="Q42" s="277">
        <f>'Initial unit rates'!Q170</f>
        <v>0</v>
      </c>
      <c r="R42" s="277">
        <f>'Initial unit rates'!R170</f>
        <v>0</v>
      </c>
      <c r="S42" s="277">
        <f>'Initial unit rates'!S170</f>
        <v>0</v>
      </c>
      <c r="T42" s="277">
        <f>'Initial unit rates'!T170</f>
        <v>0</v>
      </c>
      <c r="U42" s="277">
        <f>'Initial unit rates'!U170</f>
        <v>0</v>
      </c>
      <c r="V42" s="277">
        <f>'Initial unit rates'!V170</f>
        <v>0</v>
      </c>
      <c r="W42" s="277">
        <f>'Initial unit rates'!W170</f>
        <v>0</v>
      </c>
      <c r="X42" s="277">
        <f>'Initial unit rates'!X170</f>
        <v>0</v>
      </c>
      <c r="Y42" s="277">
        <f>'Initial unit rates'!Y170</f>
        <v>0</v>
      </c>
      <c r="Z42" s="266"/>
      <c r="AA42" s="266"/>
    </row>
    <row r="43" spans="4:27" x14ac:dyDescent="0.25">
      <c r="D43"/>
      <c r="F43" t="s">
        <v>197</v>
      </c>
      <c r="G43" t="s">
        <v>269</v>
      </c>
      <c r="H43" s="266"/>
      <c r="I43" s="266"/>
      <c r="J43" s="277">
        <f>'Initial unit rates'!J171</f>
        <v>1.6747393108187529</v>
      </c>
      <c r="K43" s="277">
        <f>'Initial unit rates'!K171</f>
        <v>1.6747393108187529</v>
      </c>
      <c r="L43" s="277">
        <f>'Initial unit rates'!L171</f>
        <v>1.9236052375117636</v>
      </c>
      <c r="M43" s="277">
        <f>'Initial unit rates'!M171</f>
        <v>1.9236052375117636</v>
      </c>
      <c r="N43" s="277">
        <f>'Initial unit rates'!N171</f>
        <v>1.6840946659717793</v>
      </c>
      <c r="O43" s="277">
        <f>'Initial unit rates'!O171</f>
        <v>1.342556731393131</v>
      </c>
      <c r="P43" s="277">
        <f>'Initial unit rates'!P171</f>
        <v>1.2985858200627796</v>
      </c>
      <c r="Q43" s="277">
        <f>'Initial unit rates'!Q171</f>
        <v>3.990688066211868</v>
      </c>
      <c r="R43" s="277">
        <f>'Initial unit rates'!R171</f>
        <v>-1.2366741870322659</v>
      </c>
      <c r="S43" s="277">
        <f>'Initial unit rates'!S171</f>
        <v>-1.1641910290907895</v>
      </c>
      <c r="T43" s="277">
        <f>'Initial unit rates'!T171</f>
        <v>-1.2366741870322659</v>
      </c>
      <c r="U43" s="277">
        <f>'Initial unit rates'!U171</f>
        <v>-1.2366741870322659</v>
      </c>
      <c r="V43" s="277">
        <f>'Initial unit rates'!V171</f>
        <v>-1.1641910290907895</v>
      </c>
      <c r="W43" s="277">
        <f>'Initial unit rates'!W171</f>
        <v>-1.1641910290907895</v>
      </c>
      <c r="X43" s="277">
        <f>'Initial unit rates'!X171</f>
        <v>0</v>
      </c>
      <c r="Y43" s="277">
        <f>'Initial unit rates'!Y171</f>
        <v>0</v>
      </c>
      <c r="Z43" s="266"/>
      <c r="AA43" s="266"/>
    </row>
    <row r="44" spans="4:27" x14ac:dyDescent="0.25">
      <c r="D44"/>
      <c r="F44" t="s">
        <v>198</v>
      </c>
      <c r="G44" t="s">
        <v>269</v>
      </c>
      <c r="H44" s="266"/>
      <c r="I44" s="266"/>
      <c r="J44" s="277">
        <f>'Initial unit rates'!J172</f>
        <v>0.42090940976484226</v>
      </c>
      <c r="K44" s="277">
        <f>'Initial unit rates'!K172</f>
        <v>0.42090940976484226</v>
      </c>
      <c r="L44" s="277">
        <f>'Initial unit rates'!L172</f>
        <v>0.483456463887388</v>
      </c>
      <c r="M44" s="277">
        <f>'Initial unit rates'!M172</f>
        <v>0.483456463887388</v>
      </c>
      <c r="N44" s="277">
        <f>'Initial unit rates'!N172</f>
        <v>0.42326067541565898</v>
      </c>
      <c r="O44" s="277">
        <f>'Initial unit rates'!O172</f>
        <v>0.33742252166412262</v>
      </c>
      <c r="P44" s="277">
        <f>'Initial unit rates'!P172</f>
        <v>0</v>
      </c>
      <c r="Q44" s="277">
        <f>'Initial unit rates'!Q172</f>
        <v>1.0029729090694419</v>
      </c>
      <c r="R44" s="277">
        <f>'Initial unit rates'!R172</f>
        <v>-0.31081124015694683</v>
      </c>
      <c r="S44" s="277">
        <f>'Initial unit rates'!S172</f>
        <v>0</v>
      </c>
      <c r="T44" s="277">
        <f>'Initial unit rates'!T172</f>
        <v>-0.31081124015694683</v>
      </c>
      <c r="U44" s="277">
        <f>'Initial unit rates'!U172</f>
        <v>-0.31081124015694683</v>
      </c>
      <c r="V44" s="277">
        <f>'Initial unit rates'!V172</f>
        <v>0</v>
      </c>
      <c r="W44" s="277">
        <f>'Initial unit rates'!W172</f>
        <v>0</v>
      </c>
      <c r="X44" s="277">
        <f>'Initial unit rates'!X172</f>
        <v>0</v>
      </c>
      <c r="Y44" s="277">
        <f>'Initial unit rates'!Y172</f>
        <v>0</v>
      </c>
      <c r="Z44" s="266"/>
      <c r="AA44" s="266"/>
    </row>
    <row r="45" spans="4:27" x14ac:dyDescent="0.25">
      <c r="D45"/>
      <c r="F45" t="s">
        <v>199</v>
      </c>
      <c r="G45" t="s">
        <v>269</v>
      </c>
      <c r="H45" s="266"/>
      <c r="I45" s="266"/>
      <c r="J45" s="277">
        <f>'Initial unit rates'!J173</f>
        <v>0.7079829346737051</v>
      </c>
      <c r="K45" s="277">
        <f>'Initial unit rates'!K173</f>
        <v>0.7079829346737051</v>
      </c>
      <c r="L45" s="277">
        <f>'Initial unit rates'!L173</f>
        <v>0.81318905719212309</v>
      </c>
      <c r="M45" s="277">
        <f>'Initial unit rates'!M173</f>
        <v>0.81318905719212309</v>
      </c>
      <c r="N45" s="277">
        <f>'Initial unit rates'!N173</f>
        <v>0.71193783783586717</v>
      </c>
      <c r="O45" s="277">
        <f>'Initial unit rates'!O173</f>
        <v>0</v>
      </c>
      <c r="P45" s="277">
        <f>'Initial unit rates'!P173</f>
        <v>0</v>
      </c>
      <c r="Q45" s="277">
        <f>'Initial unit rates'!Q173</f>
        <v>1.6870321429923019</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375</v>
      </c>
      <c r="G46" s="90" t="s">
        <v>269</v>
      </c>
      <c r="H46" s="264"/>
      <c r="I46" s="264" t="s">
        <v>154</v>
      </c>
      <c r="J46" s="278"/>
      <c r="K46" s="278"/>
      <c r="L46" s="278"/>
      <c r="M46" s="278"/>
      <c r="N46" s="278"/>
      <c r="O46" s="278"/>
      <c r="P46" s="278"/>
      <c r="Q46" s="276">
        <f>'Service model charges'!$Q$44</f>
        <v>0.51919065265771214</v>
      </c>
      <c r="R46" s="278"/>
      <c r="S46" s="278"/>
      <c r="T46" s="278"/>
      <c r="U46" s="278"/>
      <c r="V46" s="278"/>
      <c r="W46" s="278"/>
      <c r="X46" s="278"/>
      <c r="Y46" s="278"/>
      <c r="Z46" s="266"/>
      <c r="AA46" s="266" t="s">
        <v>652</v>
      </c>
    </row>
    <row r="47" spans="4:27" x14ac:dyDescent="0.25">
      <c r="D47"/>
      <c r="F47" s="91" t="s">
        <v>376</v>
      </c>
      <c r="G47" s="91" t="s">
        <v>269</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619</v>
      </c>
      <c r="J51" s="101"/>
      <c r="K51" s="101"/>
      <c r="L51" s="101"/>
      <c r="M51" s="101"/>
      <c r="N51" s="101"/>
      <c r="O51" s="101"/>
      <c r="P51" s="101"/>
      <c r="Q51" s="101"/>
      <c r="R51" s="101"/>
      <c r="S51" s="101"/>
      <c r="T51" s="101"/>
      <c r="U51" s="101"/>
      <c r="V51" s="101"/>
      <c r="W51" s="101"/>
      <c r="X51" s="101"/>
      <c r="Y51" s="101"/>
    </row>
    <row r="52" spans="3:27" x14ac:dyDescent="0.25">
      <c r="D52"/>
      <c r="F52" s="90" t="s">
        <v>189</v>
      </c>
      <c r="G52" s="90" t="s">
        <v>269</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191</v>
      </c>
      <c r="G53" t="s">
        <v>269</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192</v>
      </c>
      <c r="G54" t="s">
        <v>269</v>
      </c>
      <c r="H54" s="266"/>
      <c r="I54" s="266"/>
      <c r="J54" s="277">
        <f>'Initial unit rates'!J183</f>
        <v>0</v>
      </c>
      <c r="K54" s="277">
        <f>'Initial unit rates'!K183</f>
        <v>0</v>
      </c>
      <c r="L54" s="277">
        <f>'Initial unit rates'!L183</f>
        <v>0</v>
      </c>
      <c r="M54" s="277">
        <f>'Initial unit rates'!M183</f>
        <v>0</v>
      </c>
      <c r="N54" s="277">
        <f>'Initial unit rates'!N183</f>
        <v>0</v>
      </c>
      <c r="O54" s="277">
        <f>'Initial unit rates'!O183</f>
        <v>0</v>
      </c>
      <c r="P54" s="277">
        <f>'Initial unit rates'!P183</f>
        <v>0</v>
      </c>
      <c r="Q54" s="277">
        <f>'Initial unit rates'!Q183</f>
        <v>0</v>
      </c>
      <c r="R54" s="277">
        <f>'Initial unit rates'!R183</f>
        <v>0</v>
      </c>
      <c r="S54" s="277">
        <f>'Initial unit rates'!S183</f>
        <v>0</v>
      </c>
      <c r="T54" s="277">
        <f>'Initial unit rates'!T183</f>
        <v>0</v>
      </c>
      <c r="U54" s="277">
        <f>'Initial unit rates'!U183</f>
        <v>0</v>
      </c>
      <c r="V54" s="277">
        <f>'Initial unit rates'!V183</f>
        <v>0</v>
      </c>
      <c r="W54" s="277">
        <f>'Initial unit rates'!W183</f>
        <v>0</v>
      </c>
      <c r="X54" s="277">
        <f>'Initial unit rates'!X183</f>
        <v>0</v>
      </c>
      <c r="Y54" s="277">
        <f>'Initial unit rates'!Y183</f>
        <v>0</v>
      </c>
      <c r="Z54" s="266"/>
      <c r="AA54" s="266"/>
    </row>
    <row r="55" spans="3:27" x14ac:dyDescent="0.25">
      <c r="D55"/>
      <c r="F55" t="s">
        <v>193</v>
      </c>
      <c r="G55" t="s">
        <v>269</v>
      </c>
      <c r="H55" s="266"/>
      <c r="I55" s="266"/>
      <c r="J55" s="277">
        <f>'Initial unit rates'!J184</f>
        <v>0</v>
      </c>
      <c r="K55" s="277">
        <f>'Initial unit rates'!K184</f>
        <v>0</v>
      </c>
      <c r="L55" s="277">
        <f>'Initial unit rates'!L184</f>
        <v>0</v>
      </c>
      <c r="M55" s="277">
        <f>'Initial unit rates'!M184</f>
        <v>0</v>
      </c>
      <c r="N55" s="277">
        <f>'Initial unit rates'!N184</f>
        <v>0</v>
      </c>
      <c r="O55" s="277">
        <f>'Initial unit rates'!O184</f>
        <v>0</v>
      </c>
      <c r="P55" s="277">
        <f>'Initial unit rates'!P184</f>
        <v>0</v>
      </c>
      <c r="Q55" s="277">
        <f>'Initial unit rates'!Q184</f>
        <v>0</v>
      </c>
      <c r="R55" s="277">
        <f>'Initial unit rates'!R184</f>
        <v>0</v>
      </c>
      <c r="S55" s="277">
        <f>'Initial unit rates'!S184</f>
        <v>0</v>
      </c>
      <c r="T55" s="277">
        <f>'Initial unit rates'!T184</f>
        <v>0</v>
      </c>
      <c r="U55" s="277">
        <f>'Initial unit rates'!U184</f>
        <v>0</v>
      </c>
      <c r="V55" s="277">
        <f>'Initial unit rates'!V184</f>
        <v>0</v>
      </c>
      <c r="W55" s="277">
        <f>'Initial unit rates'!W184</f>
        <v>0</v>
      </c>
      <c r="X55" s="277">
        <f>'Initial unit rates'!X184</f>
        <v>0</v>
      </c>
      <c r="Y55" s="277">
        <f>'Initial unit rates'!Y184</f>
        <v>0</v>
      </c>
      <c r="Z55" s="266"/>
      <c r="AA55" s="266"/>
    </row>
    <row r="56" spans="3:27" x14ac:dyDescent="0.25">
      <c r="D56"/>
      <c r="F56" t="s">
        <v>194</v>
      </c>
      <c r="G56" t="s">
        <v>269</v>
      </c>
      <c r="H56" s="266"/>
      <c r="I56" s="266"/>
      <c r="J56" s="277">
        <f>'Initial unit rates'!J185</f>
        <v>0.18385733625131542</v>
      </c>
      <c r="K56" s="277">
        <f>'Initial unit rates'!K185</f>
        <v>0.18385733625131542</v>
      </c>
      <c r="L56" s="277">
        <f>'Initial unit rates'!L185</f>
        <v>0.21117849965263474</v>
      </c>
      <c r="M56" s="277">
        <f>'Initial unit rates'!M185</f>
        <v>0.21117849965263474</v>
      </c>
      <c r="N56" s="277">
        <f>'Initial unit rates'!N185</f>
        <v>0.18488439202471788</v>
      </c>
      <c r="O56" s="277">
        <f>'Initial unit rates'!O185</f>
        <v>0.14738944909553611</v>
      </c>
      <c r="P56" s="277">
        <f>'Initial unit rates'!P185</f>
        <v>0.1425622054896111</v>
      </c>
      <c r="Q56" s="277">
        <f>'Initial unit rates'!Q185</f>
        <v>0.15763383888291102</v>
      </c>
      <c r="R56" s="277">
        <f>'Initial unit rates'!R185</f>
        <v>-0.13576538173416086</v>
      </c>
      <c r="S56" s="277">
        <f>'Initial unit rates'!S185</f>
        <v>-0.1278079878543408</v>
      </c>
      <c r="T56" s="277">
        <f>'Initial unit rates'!T185</f>
        <v>-0.13576538173416086</v>
      </c>
      <c r="U56" s="277">
        <f>'Initial unit rates'!U185</f>
        <v>-0.13576538173416086</v>
      </c>
      <c r="V56" s="277">
        <f>'Initial unit rates'!V185</f>
        <v>-0.1278079878543408</v>
      </c>
      <c r="W56" s="277">
        <f>'Initial unit rates'!W185</f>
        <v>-0.1278079878543408</v>
      </c>
      <c r="X56" s="277">
        <f>'Initial unit rates'!X185</f>
        <v>-0.12548198041254724</v>
      </c>
      <c r="Y56" s="277">
        <f>'Initial unit rates'!Y185</f>
        <v>-0.12548198041254724</v>
      </c>
      <c r="Z56" s="266"/>
      <c r="AA56" s="266"/>
    </row>
    <row r="57" spans="3:27" x14ac:dyDescent="0.25">
      <c r="D57"/>
      <c r="F57" t="s">
        <v>195</v>
      </c>
      <c r="G57" t="s">
        <v>269</v>
      </c>
      <c r="H57" s="266"/>
      <c r="I57" s="266"/>
      <c r="J57" s="277">
        <f>'Initial unit rates'!J186</f>
        <v>7.5938585922135426E-2</v>
      </c>
      <c r="K57" s="277">
        <f>'Initial unit rates'!K186</f>
        <v>7.5938585922135426E-2</v>
      </c>
      <c r="L57" s="277">
        <f>'Initial unit rates'!L186</f>
        <v>8.7223044604860106E-2</v>
      </c>
      <c r="M57" s="277">
        <f>'Initial unit rates'!M186</f>
        <v>8.7223044604860106E-2</v>
      </c>
      <c r="N57" s="277">
        <f>'Initial unit rates'!N186</f>
        <v>7.6362790714207124E-2</v>
      </c>
      <c r="O57" s="277">
        <f>'Initial unit rates'!O186</f>
        <v>6.0876256408166574E-2</v>
      </c>
      <c r="P57" s="277">
        <f>'Initial unit rates'!P186</f>
        <v>5.888246023549415E-2</v>
      </c>
      <c r="Q57" s="277">
        <f>'Initial unit rates'!Q186</f>
        <v>5.6388760813268907E-2</v>
      </c>
      <c r="R57" s="277">
        <f>'Initial unit rates'!R186</f>
        <v>-5.6075168477250942E-2</v>
      </c>
      <c r="S57" s="277">
        <f>'Initial unit rates'!S186</f>
        <v>-5.2788526501577983E-2</v>
      </c>
      <c r="T57" s="277">
        <f>'Initial unit rates'!T186</f>
        <v>-5.6075168477250942E-2</v>
      </c>
      <c r="U57" s="277">
        <f>'Initial unit rates'!U186</f>
        <v>-5.6075168477250942E-2</v>
      </c>
      <c r="V57" s="277">
        <f>'Initial unit rates'!V186</f>
        <v>-5.2788526501577983E-2</v>
      </c>
      <c r="W57" s="277">
        <f>'Initial unit rates'!W186</f>
        <v>-5.2788526501577983E-2</v>
      </c>
      <c r="X57" s="277">
        <f>'Initial unit rates'!X186</f>
        <v>-5.1827815770227423E-2</v>
      </c>
      <c r="Y57" s="277">
        <f>'Initial unit rates'!Y186</f>
        <v>-5.1827815770227423E-2</v>
      </c>
      <c r="Z57" s="266"/>
      <c r="AA57" s="266"/>
    </row>
    <row r="58" spans="3:27" x14ac:dyDescent="0.25">
      <c r="D58"/>
      <c r="F58" t="s">
        <v>196</v>
      </c>
      <c r="G58" t="s">
        <v>269</v>
      </c>
      <c r="H58" s="266"/>
      <c r="I58" s="266"/>
      <c r="J58" s="277">
        <f>'Initial unit rates'!J187</f>
        <v>0</v>
      </c>
      <c r="K58" s="277">
        <f>'Initial unit rates'!K187</f>
        <v>0</v>
      </c>
      <c r="L58" s="277">
        <f>'Initial unit rates'!L187</f>
        <v>0</v>
      </c>
      <c r="M58" s="277">
        <f>'Initial unit rates'!M187</f>
        <v>0</v>
      </c>
      <c r="N58" s="277">
        <f>'Initial unit rates'!N187</f>
        <v>0</v>
      </c>
      <c r="O58" s="277">
        <f>'Initial unit rates'!O187</f>
        <v>0</v>
      </c>
      <c r="P58" s="277">
        <f>'Initial unit rates'!P187</f>
        <v>0</v>
      </c>
      <c r="Q58" s="277">
        <f>'Initial unit rates'!Q187</f>
        <v>0</v>
      </c>
      <c r="R58" s="277">
        <f>'Initial unit rates'!R187</f>
        <v>0</v>
      </c>
      <c r="S58" s="277">
        <f>'Initial unit rates'!S187</f>
        <v>0</v>
      </c>
      <c r="T58" s="277">
        <f>'Initial unit rates'!T187</f>
        <v>0</v>
      </c>
      <c r="U58" s="277">
        <f>'Initial unit rates'!U187</f>
        <v>0</v>
      </c>
      <c r="V58" s="277">
        <f>'Initial unit rates'!V187</f>
        <v>0</v>
      </c>
      <c r="W58" s="277">
        <f>'Initial unit rates'!W187</f>
        <v>0</v>
      </c>
      <c r="X58" s="277">
        <f>'Initial unit rates'!X187</f>
        <v>0</v>
      </c>
      <c r="Y58" s="277">
        <f>'Initial unit rates'!Y187</f>
        <v>0</v>
      </c>
      <c r="Z58" s="266"/>
      <c r="AA58" s="266"/>
    </row>
    <row r="59" spans="3:27" x14ac:dyDescent="0.25">
      <c r="D59"/>
      <c r="F59" t="s">
        <v>197</v>
      </c>
      <c r="G59" t="s">
        <v>269</v>
      </c>
      <c r="H59" s="266"/>
      <c r="I59" s="266"/>
      <c r="J59" s="277">
        <f>'Initial unit rates'!J188</f>
        <v>0.3266899240242479</v>
      </c>
      <c r="K59" s="277">
        <f>'Initial unit rates'!K188</f>
        <v>0.3266899240242479</v>
      </c>
      <c r="L59" s="277">
        <f>'Initial unit rates'!L188</f>
        <v>0.37523598140664521</v>
      </c>
      <c r="M59" s="277">
        <f>'Initial unit rates'!M188</f>
        <v>0.37523598140664521</v>
      </c>
      <c r="N59" s="277">
        <f>'Initial unit rates'!N188</f>
        <v>0.32851486492365733</v>
      </c>
      <c r="O59" s="277">
        <f>'Initial unit rates'!O188</f>
        <v>0.26189136049039197</v>
      </c>
      <c r="P59" s="277">
        <f>'Initial unit rates'!P188</f>
        <v>0.25331399350020251</v>
      </c>
      <c r="Q59" s="277">
        <f>'Initial unit rates'!Q188</f>
        <v>0.2425860287258596</v>
      </c>
      <c r="R59" s="277">
        <f>'Initial unit rates'!R188</f>
        <v>-0.24123694571115428</v>
      </c>
      <c r="S59" s="277">
        <f>'Initial unit rates'!S188</f>
        <v>-0.2270977198579307</v>
      </c>
      <c r="T59" s="277">
        <f>'Initial unit rates'!T188</f>
        <v>-0.24123694571115428</v>
      </c>
      <c r="U59" s="277">
        <f>'Initial unit rates'!U188</f>
        <v>-0.24123694571115428</v>
      </c>
      <c r="V59" s="277">
        <f>'Initial unit rates'!V188</f>
        <v>-0.2270977198579307</v>
      </c>
      <c r="W59" s="277">
        <f>'Initial unit rates'!W188</f>
        <v>-0.2270977198579307</v>
      </c>
      <c r="X59" s="277">
        <f>'Initial unit rates'!X188</f>
        <v>0</v>
      </c>
      <c r="Y59" s="277">
        <f>'Initial unit rates'!Y188</f>
        <v>0</v>
      </c>
      <c r="Z59" s="266"/>
      <c r="AA59" s="266"/>
    </row>
    <row r="60" spans="3:27" x14ac:dyDescent="0.25">
      <c r="D60"/>
      <c r="F60" t="s">
        <v>198</v>
      </c>
      <c r="G60" t="s">
        <v>269</v>
      </c>
      <c r="H60" s="266"/>
      <c r="I60" s="266"/>
      <c r="J60" s="277">
        <f>'Initial unit rates'!J189</f>
        <v>8.2106428271479723E-2</v>
      </c>
      <c r="K60" s="277">
        <f>'Initial unit rates'!K189</f>
        <v>8.2106428271479723E-2</v>
      </c>
      <c r="L60" s="277">
        <f>'Initial unit rates'!L189</f>
        <v>9.4307427093944435E-2</v>
      </c>
      <c r="M60" s="277">
        <f>'Initial unit rates'!M189</f>
        <v>9.4307427093944435E-2</v>
      </c>
      <c r="N60" s="277">
        <f>'Initial unit rates'!N189</f>
        <v>8.2565087593479289E-2</v>
      </c>
      <c r="O60" s="277">
        <f>'Initial unit rates'!O189</f>
        <v>6.5820714456527249E-2</v>
      </c>
      <c r="P60" s="277">
        <f>'Initial unit rates'!P189</f>
        <v>0</v>
      </c>
      <c r="Q60" s="277">
        <f>'Initial unit rates'!Q189</f>
        <v>6.0968737945418079E-2</v>
      </c>
      <c r="R60" s="277">
        <f>'Initial unit rates'!R189</f>
        <v>-6.062967518396311E-2</v>
      </c>
      <c r="S60" s="277">
        <f>'Initial unit rates'!S189</f>
        <v>0</v>
      </c>
      <c r="T60" s="277">
        <f>'Initial unit rates'!T189</f>
        <v>-6.062967518396311E-2</v>
      </c>
      <c r="U60" s="277">
        <f>'Initial unit rates'!U189</f>
        <v>-6.062967518396311E-2</v>
      </c>
      <c r="V60" s="277">
        <f>'Initial unit rates'!V189</f>
        <v>0</v>
      </c>
      <c r="W60" s="277">
        <f>'Initial unit rates'!W189</f>
        <v>0</v>
      </c>
      <c r="X60" s="277">
        <f>'Initial unit rates'!X189</f>
        <v>0</v>
      </c>
      <c r="Y60" s="277">
        <f>'Initial unit rates'!Y189</f>
        <v>0</v>
      </c>
      <c r="Z60" s="266"/>
      <c r="AA60" s="266"/>
    </row>
    <row r="61" spans="3:27" x14ac:dyDescent="0.25">
      <c r="D61"/>
      <c r="F61" t="s">
        <v>199</v>
      </c>
      <c r="G61" t="s">
        <v>269</v>
      </c>
      <c r="H61" s="266"/>
      <c r="I61" s="266"/>
      <c r="J61" s="277">
        <f>'Initial unit rates'!J190</f>
        <v>0.13810560822504511</v>
      </c>
      <c r="K61" s="277">
        <f>'Initial unit rates'!K190</f>
        <v>0.13810560822504511</v>
      </c>
      <c r="L61" s="277">
        <f>'Initial unit rates'!L190</f>
        <v>0.15862807399055276</v>
      </c>
      <c r="M61" s="277">
        <f>'Initial unit rates'!M190</f>
        <v>0.15862807399055276</v>
      </c>
      <c r="N61" s="277">
        <f>'Initial unit rates'!N190</f>
        <v>0.13887708770559684</v>
      </c>
      <c r="O61" s="277">
        <f>'Initial unit rates'!O190</f>
        <v>0</v>
      </c>
      <c r="P61" s="277">
        <f>'Initial unit rates'!P190</f>
        <v>0</v>
      </c>
      <c r="Q61" s="277">
        <f>'Initial unit rates'!Q190</f>
        <v>0.10255134480852998</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375</v>
      </c>
      <c r="G62" s="90" t="s">
        <v>269</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376</v>
      </c>
      <c r="G63" s="91" t="s">
        <v>269</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620</v>
      </c>
      <c r="J65" s="101"/>
      <c r="K65" s="101"/>
      <c r="L65" s="101"/>
      <c r="M65" s="101"/>
      <c r="N65" s="101"/>
      <c r="O65" s="101"/>
      <c r="P65" s="101"/>
      <c r="Q65" s="101"/>
      <c r="R65" s="101"/>
      <c r="S65" s="101"/>
      <c r="T65" s="101"/>
      <c r="U65" s="101"/>
      <c r="V65" s="101"/>
      <c r="W65" s="101"/>
      <c r="X65" s="101"/>
      <c r="Y65" s="101"/>
    </row>
    <row r="66" spans="3:27" x14ac:dyDescent="0.25">
      <c r="D66"/>
      <c r="F66" s="90" t="s">
        <v>189</v>
      </c>
      <c r="G66" s="90" t="s">
        <v>269</v>
      </c>
      <c r="H66" s="264"/>
      <c r="I66" s="264"/>
      <c r="J66" s="276">
        <f>'Initial unit rates'!J193</f>
        <v>0.11195839017901851</v>
      </c>
      <c r="K66" s="276">
        <f>'Initial unit rates'!K193</f>
        <v>0.11195839017901851</v>
      </c>
      <c r="L66" s="276">
        <f>'Initial unit rates'!L193</f>
        <v>0.12859538457149952</v>
      </c>
      <c r="M66" s="276">
        <f>'Initial unit rates'!M193</f>
        <v>0.12859538457149952</v>
      </c>
      <c r="N66" s="276">
        <f>'Initial unit rates'!N193</f>
        <v>0.11258380721898381</v>
      </c>
      <c r="O66" s="276">
        <f>'Initial unit rates'!O193</f>
        <v>8.9751574707645415E-2</v>
      </c>
      <c r="P66" s="276">
        <f>'Initial unit rates'!P193</f>
        <v>8.6812065008763525E-2</v>
      </c>
      <c r="Q66" s="276">
        <f>'Initial unit rates'!Q193</f>
        <v>9.5989810354620675E-2</v>
      </c>
      <c r="R66" s="276">
        <f>'Initial unit rates'!R193</f>
        <v>-8.2673195918706893E-2</v>
      </c>
      <c r="S66" s="276">
        <f>'Initial unit rates'!S193</f>
        <v>-7.7827607339161414E-2</v>
      </c>
      <c r="T66" s="276">
        <f>'Initial unit rates'!T193</f>
        <v>-8.2673195918706893E-2</v>
      </c>
      <c r="U66" s="276">
        <f>'Initial unit rates'!U193</f>
        <v>-8.2673195918706893E-2</v>
      </c>
      <c r="V66" s="276">
        <f>'Initial unit rates'!V193</f>
        <v>-7.7827607339161414E-2</v>
      </c>
      <c r="W66" s="276">
        <f>'Initial unit rates'!W193</f>
        <v>-7.7827607339161414E-2</v>
      </c>
      <c r="X66" s="276">
        <f>'Initial unit rates'!X193</f>
        <v>-7.6411204523601964E-2</v>
      </c>
      <c r="Y66" s="276">
        <f>'Initial unit rates'!Y193</f>
        <v>-7.6411204523601964E-2</v>
      </c>
      <c r="Z66" s="266"/>
      <c r="AA66" s="266"/>
    </row>
    <row r="67" spans="3:27" x14ac:dyDescent="0.25">
      <c r="D67"/>
      <c r="F67" t="s">
        <v>191</v>
      </c>
      <c r="G67" t="s">
        <v>269</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192</v>
      </c>
      <c r="G68" t="s">
        <v>269</v>
      </c>
      <c r="H68" s="266"/>
      <c r="I68" s="266"/>
      <c r="J68" s="277">
        <f>'Initial unit rates'!J195</f>
        <v>0</v>
      </c>
      <c r="K68" s="277">
        <f>'Initial unit rates'!K195</f>
        <v>0</v>
      </c>
      <c r="L68" s="277">
        <f>'Initial unit rates'!L195</f>
        <v>0</v>
      </c>
      <c r="M68" s="277">
        <f>'Initial unit rates'!M195</f>
        <v>0</v>
      </c>
      <c r="N68" s="277">
        <f>'Initial unit rates'!N195</f>
        <v>0</v>
      </c>
      <c r="O68" s="277">
        <f>'Initial unit rates'!O195</f>
        <v>0</v>
      </c>
      <c r="P68" s="277">
        <f>'Initial unit rates'!P195</f>
        <v>0</v>
      </c>
      <c r="Q68" s="277">
        <f>'Initial unit rates'!Q195</f>
        <v>0</v>
      </c>
      <c r="R68" s="277">
        <f>'Initial unit rates'!R195</f>
        <v>0</v>
      </c>
      <c r="S68" s="277">
        <f>'Initial unit rates'!S195</f>
        <v>0</v>
      </c>
      <c r="T68" s="277">
        <f>'Initial unit rates'!T195</f>
        <v>0</v>
      </c>
      <c r="U68" s="277">
        <f>'Initial unit rates'!U195</f>
        <v>0</v>
      </c>
      <c r="V68" s="277">
        <f>'Initial unit rates'!V195</f>
        <v>0</v>
      </c>
      <c r="W68" s="277">
        <f>'Initial unit rates'!W195</f>
        <v>0</v>
      </c>
      <c r="X68" s="277">
        <f>'Initial unit rates'!X195</f>
        <v>0</v>
      </c>
      <c r="Y68" s="277">
        <f>'Initial unit rates'!Y195</f>
        <v>0</v>
      </c>
      <c r="Z68" s="266"/>
      <c r="AA68" s="266"/>
    </row>
    <row r="69" spans="3:27" x14ac:dyDescent="0.25">
      <c r="D69"/>
      <c r="F69" t="s">
        <v>193</v>
      </c>
      <c r="G69" t="s">
        <v>269</v>
      </c>
      <c r="H69" s="266"/>
      <c r="I69" s="266"/>
      <c r="J69" s="277">
        <f>'Initial unit rates'!J196</f>
        <v>0</v>
      </c>
      <c r="K69" s="277">
        <f>'Initial unit rates'!K196</f>
        <v>0</v>
      </c>
      <c r="L69" s="277">
        <f>'Initial unit rates'!L196</f>
        <v>0</v>
      </c>
      <c r="M69" s="277">
        <f>'Initial unit rates'!M196</f>
        <v>0</v>
      </c>
      <c r="N69" s="277">
        <f>'Initial unit rates'!N196</f>
        <v>0</v>
      </c>
      <c r="O69" s="277">
        <f>'Initial unit rates'!O196</f>
        <v>0</v>
      </c>
      <c r="P69" s="277">
        <f>'Initial unit rates'!P196</f>
        <v>0</v>
      </c>
      <c r="Q69" s="277">
        <f>'Initial unit rates'!Q196</f>
        <v>0</v>
      </c>
      <c r="R69" s="277">
        <f>'Initial unit rates'!R196</f>
        <v>0</v>
      </c>
      <c r="S69" s="277">
        <f>'Initial unit rates'!S196</f>
        <v>0</v>
      </c>
      <c r="T69" s="277">
        <f>'Initial unit rates'!T196</f>
        <v>0</v>
      </c>
      <c r="U69" s="277">
        <f>'Initial unit rates'!U196</f>
        <v>0</v>
      </c>
      <c r="V69" s="277">
        <f>'Initial unit rates'!V196</f>
        <v>0</v>
      </c>
      <c r="W69" s="277">
        <f>'Initial unit rates'!W196</f>
        <v>0</v>
      </c>
      <c r="X69" s="277">
        <f>'Initial unit rates'!X196</f>
        <v>0</v>
      </c>
      <c r="Y69" s="277">
        <f>'Initial unit rates'!Y196</f>
        <v>0</v>
      </c>
      <c r="Z69" s="266"/>
      <c r="AA69" s="266"/>
    </row>
    <row r="70" spans="3:27" x14ac:dyDescent="0.25">
      <c r="D70"/>
      <c r="F70" t="s">
        <v>194</v>
      </c>
      <c r="G70" t="s">
        <v>269</v>
      </c>
      <c r="H70" s="266"/>
      <c r="I70" s="266"/>
      <c r="J70" s="277">
        <f>'Initial unit rates'!J197</f>
        <v>0.13780038644651965</v>
      </c>
      <c r="K70" s="277">
        <f>'Initial unit rates'!K197</f>
        <v>0.13780038644651965</v>
      </c>
      <c r="L70" s="277">
        <f>'Initial unit rates'!L197</f>
        <v>0.15827749631677301</v>
      </c>
      <c r="M70" s="277">
        <f>'Initial unit rates'!M197</f>
        <v>0.15827749631677301</v>
      </c>
      <c r="N70" s="277">
        <f>'Initial unit rates'!N197</f>
        <v>0.13857016091058302</v>
      </c>
      <c r="O70" s="277">
        <f>'Initial unit rates'!O197</f>
        <v>0.11046784130355417</v>
      </c>
      <c r="P70" s="277">
        <f>'Initial unit rates'!P197</f>
        <v>0.10684984026029581</v>
      </c>
      <c r="Q70" s="277">
        <f>'Initial unit rates'!Q197</f>
        <v>0.1181459731659641</v>
      </c>
      <c r="R70" s="277">
        <f>'Initial unit rates'!R197</f>
        <v>-0.10175564625527836</v>
      </c>
      <c r="S70" s="277">
        <f>'Initial unit rates'!S197</f>
        <v>-9.5791609279089848E-2</v>
      </c>
      <c r="T70" s="277">
        <f>'Initial unit rates'!T197</f>
        <v>-0.10175564625527836</v>
      </c>
      <c r="U70" s="277">
        <f>'Initial unit rates'!U197</f>
        <v>-0.10175564625527836</v>
      </c>
      <c r="V70" s="277">
        <f>'Initial unit rates'!V197</f>
        <v>-9.5791609279089848E-2</v>
      </c>
      <c r="W70" s="277">
        <f>'Initial unit rates'!W197</f>
        <v>-9.5791609279089848E-2</v>
      </c>
      <c r="X70" s="277">
        <f>'Initial unit rates'!X197</f>
        <v>-9.40482753937424E-2</v>
      </c>
      <c r="Y70" s="277">
        <f>'Initial unit rates'!Y197</f>
        <v>-9.40482753937424E-2</v>
      </c>
      <c r="Z70" s="266"/>
      <c r="AA70" s="266"/>
    </row>
    <row r="71" spans="3:27" x14ac:dyDescent="0.25">
      <c r="D71"/>
      <c r="F71" t="s">
        <v>195</v>
      </c>
      <c r="G71" t="s">
        <v>269</v>
      </c>
      <c r="H71" s="266"/>
      <c r="I71" s="266"/>
      <c r="J71" s="277">
        <f>'Initial unit rates'!J198</f>
        <v>5.6915686366567957E-2</v>
      </c>
      <c r="K71" s="277">
        <f>'Initial unit rates'!K198</f>
        <v>5.6915686366567957E-2</v>
      </c>
      <c r="L71" s="277">
        <f>'Initial unit rates'!L198</f>
        <v>6.5373345979310868E-2</v>
      </c>
      <c r="M71" s="277">
        <f>'Initial unit rates'!M198</f>
        <v>6.5373345979310868E-2</v>
      </c>
      <c r="N71" s="277">
        <f>'Initial unit rates'!N198</f>
        <v>5.7233626272974743E-2</v>
      </c>
      <c r="O71" s="277">
        <f>'Initial unit rates'!O198</f>
        <v>4.5626526683689779E-2</v>
      </c>
      <c r="P71" s="277">
        <f>'Initial unit rates'!P198</f>
        <v>4.4132183903076987E-2</v>
      </c>
      <c r="Q71" s="277">
        <f>'Initial unit rates'!Q198</f>
        <v>4.2263165505060013E-2</v>
      </c>
      <c r="R71" s="277">
        <f>'Initial unit rates'!R198</f>
        <v>-4.2028129221107366E-2</v>
      </c>
      <c r="S71" s="277">
        <f>'Initial unit rates'!S198</f>
        <v>-3.9564803342503244E-2</v>
      </c>
      <c r="T71" s="277">
        <f>'Initial unit rates'!T198</f>
        <v>-4.2028129221107366E-2</v>
      </c>
      <c r="U71" s="277">
        <f>'Initial unit rates'!U198</f>
        <v>-4.2028129221107366E-2</v>
      </c>
      <c r="V71" s="277">
        <f>'Initial unit rates'!V198</f>
        <v>-3.9564803342503244E-2</v>
      </c>
      <c r="W71" s="277">
        <f>'Initial unit rates'!W198</f>
        <v>-3.9564803342503244E-2</v>
      </c>
      <c r="X71" s="277">
        <f>'Initial unit rates'!X198</f>
        <v>-3.8844754239526644E-2</v>
      </c>
      <c r="Y71" s="277">
        <f>'Initial unit rates'!Y198</f>
        <v>-3.8844754239526644E-2</v>
      </c>
      <c r="Z71" s="266"/>
      <c r="AA71" s="266"/>
    </row>
    <row r="72" spans="3:27" x14ac:dyDescent="0.25">
      <c r="D72"/>
      <c r="F72" t="s">
        <v>196</v>
      </c>
      <c r="G72" t="s">
        <v>269</v>
      </c>
      <c r="H72" s="266"/>
      <c r="I72" s="266"/>
      <c r="J72" s="277">
        <f>'Initial unit rates'!J199</f>
        <v>0</v>
      </c>
      <c r="K72" s="277">
        <f>'Initial unit rates'!K199</f>
        <v>0</v>
      </c>
      <c r="L72" s="277">
        <f>'Initial unit rates'!L199</f>
        <v>0</v>
      </c>
      <c r="M72" s="277">
        <f>'Initial unit rates'!M199</f>
        <v>0</v>
      </c>
      <c r="N72" s="277">
        <f>'Initial unit rates'!N199</f>
        <v>0</v>
      </c>
      <c r="O72" s="277">
        <f>'Initial unit rates'!O199</f>
        <v>0</v>
      </c>
      <c r="P72" s="277">
        <f>'Initial unit rates'!P199</f>
        <v>0</v>
      </c>
      <c r="Q72" s="277">
        <f>'Initial unit rates'!Q199</f>
        <v>0</v>
      </c>
      <c r="R72" s="277">
        <f>'Initial unit rates'!R199</f>
        <v>0</v>
      </c>
      <c r="S72" s="277">
        <f>'Initial unit rates'!S199</f>
        <v>0</v>
      </c>
      <c r="T72" s="277">
        <f>'Initial unit rates'!T199</f>
        <v>0</v>
      </c>
      <c r="U72" s="277">
        <f>'Initial unit rates'!U199</f>
        <v>0</v>
      </c>
      <c r="V72" s="277">
        <f>'Initial unit rates'!V199</f>
        <v>0</v>
      </c>
      <c r="W72" s="277">
        <f>'Initial unit rates'!W199</f>
        <v>0</v>
      </c>
      <c r="X72" s="277">
        <f>'Initial unit rates'!X199</f>
        <v>0</v>
      </c>
      <c r="Y72" s="277">
        <f>'Initial unit rates'!Y199</f>
        <v>0</v>
      </c>
      <c r="Z72" s="266"/>
      <c r="AA72" s="266"/>
    </row>
    <row r="73" spans="3:27" x14ac:dyDescent="0.25">
      <c r="D73"/>
      <c r="F73" t="s">
        <v>197</v>
      </c>
      <c r="G73" t="s">
        <v>269</v>
      </c>
      <c r="H73" s="266"/>
      <c r="I73" s="266"/>
      <c r="J73" s="277">
        <f>'Initial unit rates'!J200</f>
        <v>0.24485287721774773</v>
      </c>
      <c r="K73" s="277">
        <f>'Initial unit rates'!K200</f>
        <v>0.24485287721774773</v>
      </c>
      <c r="L73" s="277">
        <f>'Initial unit rates'!L200</f>
        <v>0.28123796580950844</v>
      </c>
      <c r="M73" s="277">
        <f>'Initial unit rates'!M200</f>
        <v>0.28123796580950844</v>
      </c>
      <c r="N73" s="277">
        <f>'Initial unit rates'!N200</f>
        <v>0.24622066360206113</v>
      </c>
      <c r="O73" s="277">
        <f>'Initial unit rates'!O200</f>
        <v>0.1962865960009936</v>
      </c>
      <c r="P73" s="277">
        <f>'Initial unit rates'!P200</f>
        <v>0.18985789149541923</v>
      </c>
      <c r="Q73" s="277">
        <f>'Initial unit rates'!Q200</f>
        <v>0.18181732198739389</v>
      </c>
      <c r="R73" s="277">
        <f>'Initial unit rates'!R200</f>
        <v>-0.18080618930938794</v>
      </c>
      <c r="S73" s="277">
        <f>'Initial unit rates'!S200</f>
        <v>-0.17020889237060507</v>
      </c>
      <c r="T73" s="277">
        <f>'Initial unit rates'!T200</f>
        <v>-0.18080618930938794</v>
      </c>
      <c r="U73" s="277">
        <f>'Initial unit rates'!U200</f>
        <v>-0.18080618930938794</v>
      </c>
      <c r="V73" s="277">
        <f>'Initial unit rates'!V200</f>
        <v>-0.17020889237060507</v>
      </c>
      <c r="W73" s="277">
        <f>'Initial unit rates'!W200</f>
        <v>-0.17020889237060507</v>
      </c>
      <c r="X73" s="277">
        <f>'Initial unit rates'!X200</f>
        <v>0</v>
      </c>
      <c r="Y73" s="277">
        <f>'Initial unit rates'!Y200</f>
        <v>0</v>
      </c>
      <c r="Z73" s="266"/>
      <c r="AA73" s="266"/>
    </row>
    <row r="74" spans="3:27" x14ac:dyDescent="0.25">
      <c r="D74"/>
      <c r="F74" t="s">
        <v>198</v>
      </c>
      <c r="G74" t="s">
        <v>269</v>
      </c>
      <c r="H74" s="266"/>
      <c r="I74" s="266"/>
      <c r="J74" s="277">
        <f>'Initial unit rates'!J201</f>
        <v>6.1538461158209018E-2</v>
      </c>
      <c r="K74" s="277">
        <f>'Initial unit rates'!K201</f>
        <v>6.1538461158209018E-2</v>
      </c>
      <c r="L74" s="277">
        <f>'Initial unit rates'!L201</f>
        <v>7.0683064180581706E-2</v>
      </c>
      <c r="M74" s="277">
        <f>'Initial unit rates'!M201</f>
        <v>7.0683064180581706E-2</v>
      </c>
      <c r="N74" s="277">
        <f>'Initial unit rates'!N201</f>
        <v>6.188222460604037E-2</v>
      </c>
      <c r="O74" s="277">
        <f>'Initial unit rates'!O201</f>
        <v>4.9332379513523934E-2</v>
      </c>
      <c r="P74" s="277">
        <f>'Initial unit rates'!P201</f>
        <v>0</v>
      </c>
      <c r="Q74" s="277">
        <f>'Initial unit rates'!Q201</f>
        <v>4.5695841250256809E-2</v>
      </c>
      <c r="R74" s="277">
        <f>'Initial unit rates'!R201</f>
        <v>-4.5441714977621957E-2</v>
      </c>
      <c r="S74" s="277">
        <f>'Initial unit rates'!S201</f>
        <v>0</v>
      </c>
      <c r="T74" s="277">
        <f>'Initial unit rates'!T201</f>
        <v>-4.5441714977621957E-2</v>
      </c>
      <c r="U74" s="277">
        <f>'Initial unit rates'!U201</f>
        <v>-4.5441714977621957E-2</v>
      </c>
      <c r="V74" s="277">
        <f>'Initial unit rates'!V201</f>
        <v>0</v>
      </c>
      <c r="W74" s="277">
        <f>'Initial unit rates'!W201</f>
        <v>0</v>
      </c>
      <c r="X74" s="277">
        <f>'Initial unit rates'!X201</f>
        <v>0</v>
      </c>
      <c r="Y74" s="277">
        <f>'Initial unit rates'!Y201</f>
        <v>0</v>
      </c>
      <c r="Z74" s="266"/>
      <c r="AA74" s="266"/>
    </row>
    <row r="75" spans="3:27" x14ac:dyDescent="0.25">
      <c r="D75"/>
      <c r="F75" t="s">
        <v>199</v>
      </c>
      <c r="G75" t="s">
        <v>269</v>
      </c>
      <c r="H75" s="266"/>
      <c r="I75" s="266"/>
      <c r="J75" s="277">
        <f>'Initial unit rates'!J202</f>
        <v>0.10350963726478278</v>
      </c>
      <c r="K75" s="277">
        <f>'Initial unit rates'!K202</f>
        <v>0.10350963726478278</v>
      </c>
      <c r="L75" s="277">
        <f>'Initial unit rates'!L202</f>
        <v>0.11889114866369049</v>
      </c>
      <c r="M75" s="277">
        <f>'Initial unit rates'!M202</f>
        <v>0.11889114866369049</v>
      </c>
      <c r="N75" s="277">
        <f>'Initial unit rates'!N202</f>
        <v>0.10408785825244175</v>
      </c>
      <c r="O75" s="277">
        <f>'Initial unit rates'!O202</f>
        <v>0</v>
      </c>
      <c r="P75" s="277">
        <f>'Initial unit rates'!P202</f>
        <v>0</v>
      </c>
      <c r="Q75" s="277">
        <f>'Initial unit rates'!Q202</f>
        <v>7.6861849700188986E-2</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375</v>
      </c>
      <c r="G76" s="90" t="s">
        <v>269</v>
      </c>
      <c r="H76" s="264"/>
      <c r="I76" s="264" t="s">
        <v>154</v>
      </c>
      <c r="J76" s="278"/>
      <c r="K76" s="278"/>
      <c r="L76" s="278"/>
      <c r="M76" s="278"/>
      <c r="N76" s="278"/>
      <c r="O76" s="278"/>
      <c r="P76" s="278"/>
      <c r="Q76" s="276">
        <f>'Service model charges'!$Q$44</f>
        <v>0.51919065265771214</v>
      </c>
      <c r="R76" s="278"/>
      <c r="S76" s="278"/>
      <c r="T76" s="278"/>
      <c r="U76" s="278"/>
      <c r="V76" s="278"/>
      <c r="W76" s="278"/>
      <c r="X76" s="278"/>
      <c r="Y76" s="278"/>
      <c r="Z76" s="266"/>
      <c r="AA76" s="266" t="s">
        <v>652</v>
      </c>
    </row>
    <row r="77" spans="3:27" x14ac:dyDescent="0.25">
      <c r="D77"/>
      <c r="F77" s="91" t="s">
        <v>376</v>
      </c>
      <c r="G77" s="91" t="s">
        <v>269</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619</v>
      </c>
      <c r="J81" s="101"/>
      <c r="K81" s="101"/>
      <c r="L81" s="101"/>
      <c r="M81" s="101"/>
      <c r="N81" s="101"/>
      <c r="O81" s="101"/>
      <c r="P81" s="101"/>
      <c r="Q81" s="101"/>
      <c r="R81" s="101"/>
      <c r="S81" s="101"/>
      <c r="T81" s="101"/>
      <c r="U81" s="101"/>
      <c r="V81" s="101"/>
      <c r="W81" s="101"/>
      <c r="X81" s="101"/>
      <c r="Y81" s="101"/>
    </row>
    <row r="82" spans="4:27" x14ac:dyDescent="0.25">
      <c r="D82"/>
      <c r="F82" s="90" t="s">
        <v>189</v>
      </c>
      <c r="G82" s="90" t="s">
        <v>269</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191</v>
      </c>
      <c r="G83" t="s">
        <v>269</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192</v>
      </c>
      <c r="G84" t="s">
        <v>269</v>
      </c>
      <c r="H84" s="266"/>
      <c r="I84" s="266"/>
      <c r="J84" s="277">
        <f>'Initial unit rates'!J212</f>
        <v>0</v>
      </c>
      <c r="K84" s="277">
        <f>'Initial unit rates'!K212</f>
        <v>0</v>
      </c>
      <c r="L84" s="277">
        <f>'Initial unit rates'!L212</f>
        <v>0</v>
      </c>
      <c r="M84" s="277">
        <f>'Initial unit rates'!M212</f>
        <v>0</v>
      </c>
      <c r="N84" s="277">
        <f>'Initial unit rates'!N212</f>
        <v>0</v>
      </c>
      <c r="O84" s="277">
        <f>'Initial unit rates'!O212</f>
        <v>0</v>
      </c>
      <c r="P84" s="277">
        <f>'Initial unit rates'!P212</f>
        <v>0</v>
      </c>
      <c r="Q84" s="277">
        <f>'Initial unit rates'!Q212</f>
        <v>0</v>
      </c>
      <c r="R84" s="277">
        <f>'Initial unit rates'!R212</f>
        <v>0</v>
      </c>
      <c r="S84" s="277">
        <f>'Initial unit rates'!S212</f>
        <v>0</v>
      </c>
      <c r="T84" s="277">
        <f>'Initial unit rates'!T212</f>
        <v>0</v>
      </c>
      <c r="U84" s="277">
        <f>'Initial unit rates'!U212</f>
        <v>0</v>
      </c>
      <c r="V84" s="277">
        <f>'Initial unit rates'!V212</f>
        <v>0</v>
      </c>
      <c r="W84" s="277">
        <f>'Initial unit rates'!W212</f>
        <v>0</v>
      </c>
      <c r="X84" s="277">
        <f>'Initial unit rates'!X212</f>
        <v>0</v>
      </c>
      <c r="Y84" s="277">
        <f>'Initial unit rates'!Y212</f>
        <v>0</v>
      </c>
      <c r="Z84" s="266"/>
      <c r="AA84" s="266"/>
    </row>
    <row r="85" spans="4:27" x14ac:dyDescent="0.25">
      <c r="D85"/>
      <c r="F85" t="s">
        <v>193</v>
      </c>
      <c r="G85" t="s">
        <v>269</v>
      </c>
      <c r="H85" s="266"/>
      <c r="I85" s="266"/>
      <c r="J85" s="277">
        <f>'Initial unit rates'!J213</f>
        <v>0</v>
      </c>
      <c r="K85" s="277">
        <f>'Initial unit rates'!K213</f>
        <v>0</v>
      </c>
      <c r="L85" s="277">
        <f>'Initial unit rates'!L213</f>
        <v>0</v>
      </c>
      <c r="M85" s="277">
        <f>'Initial unit rates'!M213</f>
        <v>0</v>
      </c>
      <c r="N85" s="277">
        <f>'Initial unit rates'!N213</f>
        <v>0</v>
      </c>
      <c r="O85" s="277">
        <f>'Initial unit rates'!O213</f>
        <v>0</v>
      </c>
      <c r="P85" s="277">
        <f>'Initial unit rates'!P213</f>
        <v>0</v>
      </c>
      <c r="Q85" s="277">
        <f>'Initial unit rates'!Q213</f>
        <v>0</v>
      </c>
      <c r="R85" s="277">
        <f>'Initial unit rates'!R213</f>
        <v>0</v>
      </c>
      <c r="S85" s="277">
        <f>'Initial unit rates'!S213</f>
        <v>0</v>
      </c>
      <c r="T85" s="277">
        <f>'Initial unit rates'!T213</f>
        <v>0</v>
      </c>
      <c r="U85" s="277">
        <f>'Initial unit rates'!U213</f>
        <v>0</v>
      </c>
      <c r="V85" s="277">
        <f>'Initial unit rates'!V213</f>
        <v>0</v>
      </c>
      <c r="W85" s="277">
        <f>'Initial unit rates'!W213</f>
        <v>0</v>
      </c>
      <c r="X85" s="277">
        <f>'Initial unit rates'!X213</f>
        <v>0</v>
      </c>
      <c r="Y85" s="277">
        <f>'Initial unit rates'!Y213</f>
        <v>0</v>
      </c>
      <c r="Z85" s="266"/>
      <c r="AA85" s="266"/>
    </row>
    <row r="86" spans="4:27" x14ac:dyDescent="0.25">
      <c r="D86"/>
      <c r="F86" t="s">
        <v>194</v>
      </c>
      <c r="G86" t="s">
        <v>269</v>
      </c>
      <c r="H86" s="266"/>
      <c r="I86" s="266"/>
      <c r="J86" s="277">
        <f>'Initial unit rates'!J214</f>
        <v>4.1658488302845518E-3</v>
      </c>
      <c r="K86" s="277">
        <f>'Initial unit rates'!K214</f>
        <v>4.1658488302845518E-3</v>
      </c>
      <c r="L86" s="277">
        <f>'Initial unit rates'!L214</f>
        <v>4.7848931334274177E-3</v>
      </c>
      <c r="M86" s="277">
        <f>'Initial unit rates'!M214</f>
        <v>4.7848931334274177E-3</v>
      </c>
      <c r="N86" s="277">
        <f>'Initial unit rates'!N214</f>
        <v>4.1891199119802923E-3</v>
      </c>
      <c r="O86" s="277">
        <f>'Initial unit rates'!O214</f>
        <v>3.3395575973734406E-3</v>
      </c>
      <c r="P86" s="277">
        <f>'Initial unit rates'!P214</f>
        <v>3.2301816674309251E-3</v>
      </c>
      <c r="Q86" s="277">
        <f>'Initial unit rates'!Q214</f>
        <v>3.3646801124064657E-3</v>
      </c>
      <c r="R86" s="277">
        <f>'Initial unit rates'!R214</f>
        <v>-3.0761788907748477E-3</v>
      </c>
      <c r="S86" s="277">
        <f>'Initial unit rates'!S214</f>
        <v>-2.8958798575012996E-3</v>
      </c>
      <c r="T86" s="277">
        <f>'Initial unit rates'!T214</f>
        <v>-3.0761788907748477E-3</v>
      </c>
      <c r="U86" s="277">
        <f>'Initial unit rates'!U214</f>
        <v>-3.0761788907748477E-3</v>
      </c>
      <c r="V86" s="277">
        <f>'Initial unit rates'!V214</f>
        <v>-2.8958798575012996E-3</v>
      </c>
      <c r="W86" s="277">
        <f>'Initial unit rates'!W214</f>
        <v>-2.8958798575012996E-3</v>
      </c>
      <c r="X86" s="277">
        <f>'Initial unit rates'!X214</f>
        <v>-2.8431770631598009E-3</v>
      </c>
      <c r="Y86" s="277">
        <f>'Initial unit rates'!Y214</f>
        <v>-2.8431770631598009E-3</v>
      </c>
      <c r="Z86" s="266"/>
      <c r="AA86" s="266"/>
    </row>
    <row r="87" spans="4:27" x14ac:dyDescent="0.25">
      <c r="D87"/>
      <c r="F87" t="s">
        <v>195</v>
      </c>
      <c r="G87" t="s">
        <v>269</v>
      </c>
      <c r="H87" s="266"/>
      <c r="I87" s="266"/>
      <c r="J87" s="277">
        <f>'Initial unit rates'!J215</f>
        <v>1.4351426093779883E-3</v>
      </c>
      <c r="K87" s="277">
        <f>'Initial unit rates'!K215</f>
        <v>1.4351426093779883E-3</v>
      </c>
      <c r="L87" s="277">
        <f>'Initial unit rates'!L215</f>
        <v>1.6484045141486295E-3</v>
      </c>
      <c r="M87" s="277">
        <f>'Initial unit rates'!M215</f>
        <v>1.6484045141486295E-3</v>
      </c>
      <c r="N87" s="277">
        <f>'Initial unit rates'!N215</f>
        <v>1.4431595399648793E-3</v>
      </c>
      <c r="O87" s="277">
        <f>'Initial unit rates'!O215</f>
        <v>1.1504837548642474E-3</v>
      </c>
      <c r="P87" s="277">
        <f>'Initial unit rates'!P215</f>
        <v>1.1128035451649137E-3</v>
      </c>
      <c r="Q87" s="277">
        <f>'Initial unit rates'!Q215</f>
        <v>1.1591385076523296E-3</v>
      </c>
      <c r="R87" s="277">
        <f>'Initial unit rates'!R215</f>
        <v>-1.0597493044217224E-3</v>
      </c>
      <c r="S87" s="277">
        <f>'Initial unit rates'!S215</f>
        <v>-9.9763595474867289E-4</v>
      </c>
      <c r="T87" s="277">
        <f>'Initial unit rates'!T215</f>
        <v>-1.0597493044217224E-3</v>
      </c>
      <c r="U87" s="277">
        <f>'Initial unit rates'!U215</f>
        <v>-1.0597493044217224E-3</v>
      </c>
      <c r="V87" s="277">
        <f>'Initial unit rates'!V215</f>
        <v>-9.9763595474867289E-4</v>
      </c>
      <c r="W87" s="277">
        <f>'Initial unit rates'!W215</f>
        <v>-9.9763595474867289E-4</v>
      </c>
      <c r="X87" s="277">
        <f>'Initial unit rates'!X215</f>
        <v>-9.7947974484424304E-4</v>
      </c>
      <c r="Y87" s="277">
        <f>'Initial unit rates'!Y215</f>
        <v>-9.7947974484424304E-4</v>
      </c>
      <c r="Z87" s="266"/>
      <c r="AA87" s="266"/>
    </row>
    <row r="88" spans="4:27" x14ac:dyDescent="0.25">
      <c r="D88"/>
      <c r="F88" t="s">
        <v>196</v>
      </c>
      <c r="G88" t="s">
        <v>269</v>
      </c>
      <c r="H88" s="266"/>
      <c r="I88" s="266"/>
      <c r="J88" s="277">
        <f>'Initial unit rates'!J216</f>
        <v>0</v>
      </c>
      <c r="K88" s="277">
        <f>'Initial unit rates'!K216</f>
        <v>0</v>
      </c>
      <c r="L88" s="277">
        <f>'Initial unit rates'!L216</f>
        <v>0</v>
      </c>
      <c r="M88" s="277">
        <f>'Initial unit rates'!M216</f>
        <v>0</v>
      </c>
      <c r="N88" s="277">
        <f>'Initial unit rates'!N216</f>
        <v>0</v>
      </c>
      <c r="O88" s="277">
        <f>'Initial unit rates'!O216</f>
        <v>0</v>
      </c>
      <c r="P88" s="277">
        <f>'Initial unit rates'!P216</f>
        <v>0</v>
      </c>
      <c r="Q88" s="277">
        <f>'Initial unit rates'!Q216</f>
        <v>0</v>
      </c>
      <c r="R88" s="277">
        <f>'Initial unit rates'!R216</f>
        <v>0</v>
      </c>
      <c r="S88" s="277">
        <f>'Initial unit rates'!S216</f>
        <v>0</v>
      </c>
      <c r="T88" s="277">
        <f>'Initial unit rates'!T216</f>
        <v>0</v>
      </c>
      <c r="U88" s="277">
        <f>'Initial unit rates'!U216</f>
        <v>0</v>
      </c>
      <c r="V88" s="277">
        <f>'Initial unit rates'!V216</f>
        <v>0</v>
      </c>
      <c r="W88" s="277">
        <f>'Initial unit rates'!W216</f>
        <v>0</v>
      </c>
      <c r="X88" s="277">
        <f>'Initial unit rates'!X216</f>
        <v>0</v>
      </c>
      <c r="Y88" s="277">
        <f>'Initial unit rates'!Y216</f>
        <v>0</v>
      </c>
      <c r="Z88" s="266"/>
      <c r="AA88" s="266"/>
    </row>
    <row r="89" spans="4:27" x14ac:dyDescent="0.25">
      <c r="D89"/>
      <c r="F89" t="s">
        <v>197</v>
      </c>
      <c r="G89" t="s">
        <v>269</v>
      </c>
      <c r="H89" s="266"/>
      <c r="I89" s="266"/>
      <c r="J89" s="277">
        <f>'Initial unit rates'!J217</f>
        <v>6.1740237104545709E-3</v>
      </c>
      <c r="K89" s="277">
        <f>'Initial unit rates'!K217</f>
        <v>6.1740237104545709E-3</v>
      </c>
      <c r="L89" s="277">
        <f>'Initial unit rates'!L217</f>
        <v>7.091482399219526E-3</v>
      </c>
      <c r="M89" s="277">
        <f>'Initial unit rates'!M217</f>
        <v>7.091482399219526E-3</v>
      </c>
      <c r="N89" s="277">
        <f>'Initial unit rates'!N217</f>
        <v>6.2085127704302814E-3</v>
      </c>
      <c r="O89" s="277">
        <f>'Initial unit rates'!O217</f>
        <v>4.9494133437395903E-3</v>
      </c>
      <c r="P89" s="277">
        <f>'Initial unit rates'!P217</f>
        <v>4.78731202601799E-3</v>
      </c>
      <c r="Q89" s="277">
        <f>'Initial unit rates'!Q217</f>
        <v>4.9866463326931404E-3</v>
      </c>
      <c r="R89" s="277">
        <f>'Initial unit rates'!R217</f>
        <v>-4.5590711960487671E-3</v>
      </c>
      <c r="S89" s="277">
        <f>'Initial unit rates'!S217</f>
        <v>-4.2918578256762076E-3</v>
      </c>
      <c r="T89" s="277">
        <f>'Initial unit rates'!T217</f>
        <v>-4.5590711960487671E-3</v>
      </c>
      <c r="U89" s="277">
        <f>'Initial unit rates'!U217</f>
        <v>-4.5590711960487671E-3</v>
      </c>
      <c r="V89" s="277">
        <f>'Initial unit rates'!V217</f>
        <v>-4.2918578256762076E-3</v>
      </c>
      <c r="W89" s="277">
        <f>'Initial unit rates'!W217</f>
        <v>-4.2918578256762076E-3</v>
      </c>
      <c r="X89" s="277">
        <f>'Initial unit rates'!X217</f>
        <v>0</v>
      </c>
      <c r="Y89" s="277">
        <f>'Initial unit rates'!Y217</f>
        <v>0</v>
      </c>
      <c r="Z89" s="266"/>
      <c r="AA89" s="266"/>
    </row>
    <row r="90" spans="4:27" x14ac:dyDescent="0.25">
      <c r="D90"/>
      <c r="F90" t="s">
        <v>198</v>
      </c>
      <c r="G90" t="s">
        <v>269</v>
      </c>
      <c r="H90" s="266"/>
      <c r="I90" s="266"/>
      <c r="J90" s="277">
        <f>'Initial unit rates'!J218</f>
        <v>1.5517069785452816E-3</v>
      </c>
      <c r="K90" s="277">
        <f>'Initial unit rates'!K218</f>
        <v>1.5517069785452816E-3</v>
      </c>
      <c r="L90" s="277">
        <f>'Initial unit rates'!L218</f>
        <v>1.7822903252650119E-3</v>
      </c>
      <c r="M90" s="277">
        <f>'Initial unit rates'!M218</f>
        <v>1.7822903252650119E-3</v>
      </c>
      <c r="N90" s="277">
        <f>'Initial unit rates'!N218</f>
        <v>1.5603750558895837E-3</v>
      </c>
      <c r="O90" s="277">
        <f>'Initial unit rates'!O218</f>
        <v>1.2439277180262729E-3</v>
      </c>
      <c r="P90" s="277">
        <f>'Initial unit rates'!P218</f>
        <v>0</v>
      </c>
      <c r="Q90" s="277">
        <f>'Initial unit rates'!Q218</f>
        <v>1.2532854224182233E-3</v>
      </c>
      <c r="R90" s="277">
        <f>'Initial unit rates'!R218</f>
        <v>-1.1458236836075896E-3</v>
      </c>
      <c r="S90" s="277">
        <f>'Initial unit rates'!S218</f>
        <v>0</v>
      </c>
      <c r="T90" s="277">
        <f>'Initial unit rates'!T218</f>
        <v>-1.1458236836075896E-3</v>
      </c>
      <c r="U90" s="277">
        <f>'Initial unit rates'!U218</f>
        <v>-1.1458236836075896E-3</v>
      </c>
      <c r="V90" s="277">
        <f>'Initial unit rates'!V218</f>
        <v>0</v>
      </c>
      <c r="W90" s="277">
        <f>'Initial unit rates'!W218</f>
        <v>0</v>
      </c>
      <c r="X90" s="277">
        <f>'Initial unit rates'!X218</f>
        <v>0</v>
      </c>
      <c r="Y90" s="277">
        <f>'Initial unit rates'!Y218</f>
        <v>0</v>
      </c>
      <c r="Z90" s="266"/>
      <c r="AA90" s="266"/>
    </row>
    <row r="91" spans="4:27" x14ac:dyDescent="0.25">
      <c r="D91"/>
      <c r="F91" t="s">
        <v>199</v>
      </c>
      <c r="G91" t="s">
        <v>269</v>
      </c>
      <c r="H91" s="266"/>
      <c r="I91" s="266"/>
      <c r="J91" s="277">
        <f>'Initial unit rates'!J219</f>
        <v>2.6100201965974651E-3</v>
      </c>
      <c r="K91" s="277">
        <f>'Initial unit rates'!K219</f>
        <v>2.6100201965974651E-3</v>
      </c>
      <c r="L91" s="277">
        <f>'Initial unit rates'!L219</f>
        <v>2.9978686758907287E-3</v>
      </c>
      <c r="M91" s="277">
        <f>'Initial unit rates'!M219</f>
        <v>2.9978686758907287E-3</v>
      </c>
      <c r="N91" s="277">
        <f>'Initial unit rates'!N219</f>
        <v>2.6246001767400479E-3</v>
      </c>
      <c r="O91" s="277">
        <f>'Initial unit rates'!O219</f>
        <v>0</v>
      </c>
      <c r="P91" s="277">
        <f>'Initial unit rates'!P219</f>
        <v>0</v>
      </c>
      <c r="Q91" s="277">
        <f>'Initial unit rates'!Q219</f>
        <v>2.1080657043118988E-3</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375</v>
      </c>
      <c r="G92" s="90" t="s">
        <v>269</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376</v>
      </c>
      <c r="G93" s="91" t="s">
        <v>269</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620</v>
      </c>
      <c r="J95" s="101"/>
      <c r="K95" s="101"/>
      <c r="L95" s="101"/>
      <c r="M95" s="101"/>
      <c r="N95" s="101"/>
      <c r="O95" s="101"/>
      <c r="P95" s="101"/>
      <c r="Q95" s="101"/>
      <c r="R95" s="101"/>
      <c r="S95" s="101"/>
      <c r="T95" s="101"/>
      <c r="U95" s="101"/>
      <c r="V95" s="101"/>
      <c r="W95" s="101"/>
      <c r="X95" s="101"/>
      <c r="Y95" s="101"/>
    </row>
    <row r="96" spans="4:27" x14ac:dyDescent="0.25">
      <c r="D96"/>
      <c r="F96" s="90" t="s">
        <v>189</v>
      </c>
      <c r="G96" s="90" t="s">
        <v>269</v>
      </c>
      <c r="H96" s="264"/>
      <c r="I96" s="264"/>
      <c r="J96" s="276">
        <f>'Initial unit rates'!J222</f>
        <v>2.5367588711841175E-3</v>
      </c>
      <c r="K96" s="276">
        <f>'Initial unit rates'!K222</f>
        <v>2.5367588711841175E-3</v>
      </c>
      <c r="L96" s="276">
        <f>'Initial unit rates'!L222</f>
        <v>2.9137207321708958E-3</v>
      </c>
      <c r="M96" s="276">
        <f>'Initial unit rates'!M222</f>
        <v>2.9137207321708958E-3</v>
      </c>
      <c r="N96" s="276">
        <f>'Initial unit rates'!N222</f>
        <v>2.550929602129649E-3</v>
      </c>
      <c r="O96" s="276">
        <f>'Initial unit rates'!O222</f>
        <v>2.0335957222885428E-3</v>
      </c>
      <c r="P96" s="276">
        <f>'Initial unit rates'!P222</f>
        <v>1.9669921627549778E-3</v>
      </c>
      <c r="Q96" s="276">
        <f>'Initial unit rates'!Q222</f>
        <v>2.0488938681101541E-3</v>
      </c>
      <c r="R96" s="276">
        <f>'Initial unit rates'!R222</f>
        <v>-1.8732134574334491E-3</v>
      </c>
      <c r="S96" s="276">
        <f>'Initial unit rates'!S222</f>
        <v>-1.763421866150154E-3</v>
      </c>
      <c r="T96" s="276">
        <f>'Initial unit rates'!T222</f>
        <v>-1.8732134574334491E-3</v>
      </c>
      <c r="U96" s="276">
        <f>'Initial unit rates'!U222</f>
        <v>-1.8732134574334491E-3</v>
      </c>
      <c r="V96" s="276">
        <f>'Initial unit rates'!V222</f>
        <v>-1.763421866150154E-3</v>
      </c>
      <c r="W96" s="276">
        <f>'Initial unit rates'!W222</f>
        <v>-1.763421866150154E-3</v>
      </c>
      <c r="X96" s="276">
        <f>'Initial unit rates'!X222</f>
        <v>-1.7313289394673445E-3</v>
      </c>
      <c r="Y96" s="276">
        <f>'Initial unit rates'!Y222</f>
        <v>-1.7313289394673445E-3</v>
      </c>
      <c r="Z96" s="266"/>
      <c r="AA96" s="266"/>
    </row>
    <row r="97" spans="3:42" x14ac:dyDescent="0.25">
      <c r="D97"/>
      <c r="F97" t="s">
        <v>191</v>
      </c>
      <c r="G97" t="s">
        <v>269</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192</v>
      </c>
      <c r="G98" t="s">
        <v>269</v>
      </c>
      <c r="H98" s="266"/>
      <c r="I98" s="266"/>
      <c r="J98" s="277">
        <f>'Initial unit rates'!J224</f>
        <v>0</v>
      </c>
      <c r="K98" s="277">
        <f>'Initial unit rates'!K224</f>
        <v>0</v>
      </c>
      <c r="L98" s="277">
        <f>'Initial unit rates'!L224</f>
        <v>0</v>
      </c>
      <c r="M98" s="277">
        <f>'Initial unit rates'!M224</f>
        <v>0</v>
      </c>
      <c r="N98" s="277">
        <f>'Initial unit rates'!N224</f>
        <v>0</v>
      </c>
      <c r="O98" s="277">
        <f>'Initial unit rates'!O224</f>
        <v>0</v>
      </c>
      <c r="P98" s="277">
        <f>'Initial unit rates'!P224</f>
        <v>0</v>
      </c>
      <c r="Q98" s="277">
        <f>'Initial unit rates'!Q224</f>
        <v>0</v>
      </c>
      <c r="R98" s="277">
        <f>'Initial unit rates'!R224</f>
        <v>0</v>
      </c>
      <c r="S98" s="277">
        <f>'Initial unit rates'!S224</f>
        <v>0</v>
      </c>
      <c r="T98" s="277">
        <f>'Initial unit rates'!T224</f>
        <v>0</v>
      </c>
      <c r="U98" s="277">
        <f>'Initial unit rates'!U224</f>
        <v>0</v>
      </c>
      <c r="V98" s="277">
        <f>'Initial unit rates'!V224</f>
        <v>0</v>
      </c>
      <c r="W98" s="277">
        <f>'Initial unit rates'!W224</f>
        <v>0</v>
      </c>
      <c r="X98" s="277">
        <f>'Initial unit rates'!X224</f>
        <v>0</v>
      </c>
      <c r="Y98" s="277">
        <f>'Initial unit rates'!Y224</f>
        <v>0</v>
      </c>
      <c r="Z98" s="266"/>
      <c r="AA98" s="266"/>
    </row>
    <row r="99" spans="3:42" x14ac:dyDescent="0.25">
      <c r="D99"/>
      <c r="F99" t="s">
        <v>193</v>
      </c>
      <c r="G99" t="s">
        <v>269</v>
      </c>
      <c r="H99" s="266"/>
      <c r="I99" s="266"/>
      <c r="J99" s="277">
        <f>'Initial unit rates'!J225</f>
        <v>0</v>
      </c>
      <c r="K99" s="277">
        <f>'Initial unit rates'!K225</f>
        <v>0</v>
      </c>
      <c r="L99" s="277">
        <f>'Initial unit rates'!L225</f>
        <v>0</v>
      </c>
      <c r="M99" s="277">
        <f>'Initial unit rates'!M225</f>
        <v>0</v>
      </c>
      <c r="N99" s="277">
        <f>'Initial unit rates'!N225</f>
        <v>0</v>
      </c>
      <c r="O99" s="277">
        <f>'Initial unit rates'!O225</f>
        <v>0</v>
      </c>
      <c r="P99" s="277">
        <f>'Initial unit rates'!P225</f>
        <v>0</v>
      </c>
      <c r="Q99" s="277">
        <f>'Initial unit rates'!Q225</f>
        <v>0</v>
      </c>
      <c r="R99" s="277">
        <f>'Initial unit rates'!R225</f>
        <v>0</v>
      </c>
      <c r="S99" s="277">
        <f>'Initial unit rates'!S225</f>
        <v>0</v>
      </c>
      <c r="T99" s="277">
        <f>'Initial unit rates'!T225</f>
        <v>0</v>
      </c>
      <c r="U99" s="277">
        <f>'Initial unit rates'!U225</f>
        <v>0</v>
      </c>
      <c r="V99" s="277">
        <f>'Initial unit rates'!V225</f>
        <v>0</v>
      </c>
      <c r="W99" s="277">
        <f>'Initial unit rates'!W225</f>
        <v>0</v>
      </c>
      <c r="X99" s="277">
        <f>'Initial unit rates'!X225</f>
        <v>0</v>
      </c>
      <c r="Y99" s="277">
        <f>'Initial unit rates'!Y225</f>
        <v>0</v>
      </c>
      <c r="Z99" s="266"/>
      <c r="AA99" s="266"/>
    </row>
    <row r="100" spans="3:42" x14ac:dyDescent="0.25">
      <c r="D100"/>
      <c r="F100" t="s">
        <v>194</v>
      </c>
      <c r="G100" t="s">
        <v>269</v>
      </c>
      <c r="H100" s="266"/>
      <c r="I100" s="266"/>
      <c r="J100" s="277">
        <f>'Initial unit rates'!J226</f>
        <v>3.1222881305444012E-3</v>
      </c>
      <c r="K100" s="277">
        <f>'Initial unit rates'!K226</f>
        <v>3.1222881305444012E-3</v>
      </c>
      <c r="L100" s="277">
        <f>'Initial unit rates'!L226</f>
        <v>3.5862595223848672E-3</v>
      </c>
      <c r="M100" s="277">
        <f>'Initial unit rates'!M226</f>
        <v>3.5862595223848672E-3</v>
      </c>
      <c r="N100" s="277">
        <f>'Initial unit rates'!N226</f>
        <v>3.1397297193114554E-3</v>
      </c>
      <c r="O100" s="277">
        <f>'Initial unit rates'!O226</f>
        <v>2.5029859393232573E-3</v>
      </c>
      <c r="P100" s="277">
        <f>'Initial unit rates'!P226</f>
        <v>2.4210090885685826E-3</v>
      </c>
      <c r="Q100" s="277">
        <f>'Initial unit rates'!Q226</f>
        <v>2.5218151704578104E-3</v>
      </c>
      <c r="R100" s="277">
        <f>'Initial unit rates'!R226</f>
        <v>-2.3055845829723712E-3</v>
      </c>
      <c r="S100" s="277">
        <f>'Initial unit rates'!S226</f>
        <v>-2.1704511313103297E-3</v>
      </c>
      <c r="T100" s="277">
        <f>'Initial unit rates'!T226</f>
        <v>-2.3055845829723712E-3</v>
      </c>
      <c r="U100" s="277">
        <f>'Initial unit rates'!U226</f>
        <v>-2.3055845829723712E-3</v>
      </c>
      <c r="V100" s="277">
        <f>'Initial unit rates'!V226</f>
        <v>-2.1704511313103297E-3</v>
      </c>
      <c r="W100" s="277">
        <f>'Initial unit rates'!W226</f>
        <v>-2.1704511313103297E-3</v>
      </c>
      <c r="X100" s="277">
        <f>'Initial unit rates'!X226</f>
        <v>-2.1309505839014246E-3</v>
      </c>
      <c r="Y100" s="277">
        <f>'Initial unit rates'!Y226</f>
        <v>-2.1309505839014246E-3</v>
      </c>
      <c r="Z100" s="266"/>
      <c r="AA100" s="266"/>
    </row>
    <row r="101" spans="3:42" x14ac:dyDescent="0.25">
      <c r="D101"/>
      <c r="F101" t="s">
        <v>195</v>
      </c>
      <c r="G101" t="s">
        <v>269</v>
      </c>
      <c r="H101" s="266"/>
      <c r="I101" s="266"/>
      <c r="J101" s="277">
        <f>'Initial unit rates'!J227</f>
        <v>1.075634022608866E-3</v>
      </c>
      <c r="K101" s="277">
        <f>'Initial unit rates'!K227</f>
        <v>1.075634022608866E-3</v>
      </c>
      <c r="L101" s="277">
        <f>'Initial unit rates'!L227</f>
        <v>1.2354730232759113E-3</v>
      </c>
      <c r="M101" s="277">
        <f>'Initial unit rates'!M227</f>
        <v>1.2354730232759113E-3</v>
      </c>
      <c r="N101" s="277">
        <f>'Initial unit rates'!N227</f>
        <v>1.0816426821245158E-3</v>
      </c>
      <c r="O101" s="277">
        <f>'Initial unit rates'!O227</f>
        <v>8.6228327491937073E-4</v>
      </c>
      <c r="P101" s="277">
        <f>'Initial unit rates'!P227</f>
        <v>8.3404209856045364E-4</v>
      </c>
      <c r="Q101" s="277">
        <f>'Initial unit rates'!Q227</f>
        <v>8.6876997979127505E-4</v>
      </c>
      <c r="R101" s="277">
        <f>'Initial unit rates'!R227</f>
        <v>-7.9427814338683402E-4</v>
      </c>
      <c r="S101" s="277">
        <f>'Initial unit rates'!S227</f>
        <v>-7.4772441992412516E-4</v>
      </c>
      <c r="T101" s="277">
        <f>'Initial unit rates'!T227</f>
        <v>-7.9427814338683402E-4</v>
      </c>
      <c r="U101" s="277">
        <f>'Initial unit rates'!U227</f>
        <v>-7.9427814338683402E-4</v>
      </c>
      <c r="V101" s="277">
        <f>'Initial unit rates'!V227</f>
        <v>-7.4772441992412516E-4</v>
      </c>
      <c r="W101" s="277">
        <f>'Initial unit rates'!W227</f>
        <v>-7.4772441992412516E-4</v>
      </c>
      <c r="X101" s="277">
        <f>'Initial unit rates'!X227</f>
        <v>-7.3411640845041015E-4</v>
      </c>
      <c r="Y101" s="277">
        <f>'Initial unit rates'!Y227</f>
        <v>-7.3411640845041015E-4</v>
      </c>
      <c r="Z101" s="266"/>
      <c r="AA101" s="266"/>
    </row>
    <row r="102" spans="3:42" x14ac:dyDescent="0.25">
      <c r="D102"/>
      <c r="F102" t="s">
        <v>196</v>
      </c>
      <c r="G102" t="s">
        <v>269</v>
      </c>
      <c r="H102" s="266"/>
      <c r="I102" s="266"/>
      <c r="J102" s="277">
        <f>'Initial unit rates'!J228</f>
        <v>0</v>
      </c>
      <c r="K102" s="277">
        <f>'Initial unit rates'!K228</f>
        <v>0</v>
      </c>
      <c r="L102" s="277">
        <f>'Initial unit rates'!L228</f>
        <v>0</v>
      </c>
      <c r="M102" s="277">
        <f>'Initial unit rates'!M228</f>
        <v>0</v>
      </c>
      <c r="N102" s="277">
        <f>'Initial unit rates'!N228</f>
        <v>0</v>
      </c>
      <c r="O102" s="277">
        <f>'Initial unit rates'!O228</f>
        <v>0</v>
      </c>
      <c r="P102" s="277">
        <f>'Initial unit rates'!P228</f>
        <v>0</v>
      </c>
      <c r="Q102" s="277">
        <f>'Initial unit rates'!Q228</f>
        <v>0</v>
      </c>
      <c r="R102" s="277">
        <f>'Initial unit rates'!R228</f>
        <v>0</v>
      </c>
      <c r="S102" s="277">
        <f>'Initial unit rates'!S228</f>
        <v>0</v>
      </c>
      <c r="T102" s="277">
        <f>'Initial unit rates'!T228</f>
        <v>0</v>
      </c>
      <c r="U102" s="277">
        <f>'Initial unit rates'!U228</f>
        <v>0</v>
      </c>
      <c r="V102" s="277">
        <f>'Initial unit rates'!V228</f>
        <v>0</v>
      </c>
      <c r="W102" s="277">
        <f>'Initial unit rates'!W228</f>
        <v>0</v>
      </c>
      <c r="X102" s="277">
        <f>'Initial unit rates'!X228</f>
        <v>0</v>
      </c>
      <c r="Y102" s="277">
        <f>'Initial unit rates'!Y228</f>
        <v>0</v>
      </c>
      <c r="Z102" s="266"/>
      <c r="AA102" s="266"/>
    </row>
    <row r="103" spans="3:42" x14ac:dyDescent="0.25">
      <c r="D103"/>
      <c r="F103" t="s">
        <v>197</v>
      </c>
      <c r="G103" t="s">
        <v>269</v>
      </c>
      <c r="H103" s="266"/>
      <c r="I103" s="266"/>
      <c r="J103" s="277">
        <f>'Initial unit rates'!J229</f>
        <v>4.6274076986934911E-3</v>
      </c>
      <c r="K103" s="277">
        <f>'Initial unit rates'!K229</f>
        <v>4.6274076986934911E-3</v>
      </c>
      <c r="L103" s="277">
        <f>'Initial unit rates'!L229</f>
        <v>5.3150395573848151E-3</v>
      </c>
      <c r="M103" s="277">
        <f>'Initial unit rates'!M229</f>
        <v>5.3150395573848151E-3</v>
      </c>
      <c r="N103" s="277">
        <f>'Initial unit rates'!N229</f>
        <v>4.6532571202598603E-3</v>
      </c>
      <c r="O103" s="277">
        <f>'Initial unit rates'!O229</f>
        <v>3.7095668052027297E-3</v>
      </c>
      <c r="P103" s="277">
        <f>'Initial unit rates'!P229</f>
        <v>3.5880724733421119E-3</v>
      </c>
      <c r="Q103" s="277">
        <f>'Initial unit rates'!Q229</f>
        <v>3.7374727912839441E-3</v>
      </c>
      <c r="R103" s="277">
        <f>'Initial unit rates'!R229</f>
        <v>-3.4170068242148901E-3</v>
      </c>
      <c r="S103" s="277">
        <f>'Initial unit rates'!S229</f>
        <v>-3.2167314016955323E-3</v>
      </c>
      <c r="T103" s="277">
        <f>'Initial unit rates'!T229</f>
        <v>-3.4170068242148901E-3</v>
      </c>
      <c r="U103" s="277">
        <f>'Initial unit rates'!U229</f>
        <v>-3.4170068242148901E-3</v>
      </c>
      <c r="V103" s="277">
        <f>'Initial unit rates'!V229</f>
        <v>-3.2167314016955323E-3</v>
      </c>
      <c r="W103" s="277">
        <f>'Initial unit rates'!W229</f>
        <v>-3.2167314016955323E-3</v>
      </c>
      <c r="X103" s="277">
        <f>'Initial unit rates'!X229</f>
        <v>0</v>
      </c>
      <c r="Y103" s="277">
        <f>'Initial unit rates'!Y229</f>
        <v>0</v>
      </c>
      <c r="Z103" s="266"/>
      <c r="AA103" s="266"/>
    </row>
    <row r="104" spans="3:42" x14ac:dyDescent="0.25">
      <c r="D104"/>
      <c r="F104" t="s">
        <v>198</v>
      </c>
      <c r="G104" t="s">
        <v>269</v>
      </c>
      <c r="H104" s="266"/>
      <c r="I104" s="266"/>
      <c r="J104" s="277">
        <f>'Initial unit rates'!J230</f>
        <v>1.1629985816993544E-3</v>
      </c>
      <c r="K104" s="277">
        <f>'Initial unit rates'!K230</f>
        <v>1.1629985816993544E-3</v>
      </c>
      <c r="L104" s="277">
        <f>'Initial unit rates'!L230</f>
        <v>1.3358199383771102E-3</v>
      </c>
      <c r="M104" s="277">
        <f>'Initial unit rates'!M230</f>
        <v>1.3358199383771102E-3</v>
      </c>
      <c r="N104" s="277">
        <f>'Initial unit rates'!N230</f>
        <v>1.1694952732763523E-3</v>
      </c>
      <c r="O104" s="277">
        <f>'Initial unit rates'!O230</f>
        <v>9.3231917610973934E-4</v>
      </c>
      <c r="P104" s="277">
        <f>'Initial unit rates'!P230</f>
        <v>0</v>
      </c>
      <c r="Q104" s="277">
        <f>'Initial unit rates'!Q230</f>
        <v>9.3933274058181687E-4</v>
      </c>
      <c r="R104" s="277">
        <f>'Initial unit rates'!R230</f>
        <v>-8.5879056892716635E-4</v>
      </c>
      <c r="S104" s="277">
        <f>'Initial unit rates'!S230</f>
        <v>0</v>
      </c>
      <c r="T104" s="277">
        <f>'Initial unit rates'!T230</f>
        <v>-8.5879056892716635E-4</v>
      </c>
      <c r="U104" s="277">
        <f>'Initial unit rates'!U230</f>
        <v>-8.5879056892716635E-4</v>
      </c>
      <c r="V104" s="277">
        <f>'Initial unit rates'!V230</f>
        <v>0</v>
      </c>
      <c r="W104" s="277">
        <f>'Initial unit rates'!W230</f>
        <v>0</v>
      </c>
      <c r="X104" s="277">
        <f>'Initial unit rates'!X230</f>
        <v>0</v>
      </c>
      <c r="Y104" s="277">
        <f>'Initial unit rates'!Y230</f>
        <v>0</v>
      </c>
      <c r="Z104" s="266"/>
      <c r="AA104" s="266"/>
    </row>
    <row r="105" spans="3:42" x14ac:dyDescent="0.25">
      <c r="D105"/>
      <c r="F105" t="s">
        <v>199</v>
      </c>
      <c r="G105" t="s">
        <v>269</v>
      </c>
      <c r="H105" s="266"/>
      <c r="I105" s="266"/>
      <c r="J105" s="277">
        <f>'Initial unit rates'!J231</f>
        <v>1.9562003837188657E-3</v>
      </c>
      <c r="K105" s="277">
        <f>'Initial unit rates'!K231</f>
        <v>1.9562003837188657E-3</v>
      </c>
      <c r="L105" s="277">
        <f>'Initial unit rates'!L231</f>
        <v>2.2468913695615602E-3</v>
      </c>
      <c r="M105" s="277">
        <f>'Initial unit rates'!M231</f>
        <v>2.2468913695615602E-3</v>
      </c>
      <c r="N105" s="277">
        <f>'Initial unit rates'!N231</f>
        <v>1.9671280243504269E-3</v>
      </c>
      <c r="O105" s="277">
        <f>'Initial unit rates'!O231</f>
        <v>0</v>
      </c>
      <c r="P105" s="277">
        <f>'Initial unit rates'!P231</f>
        <v>0</v>
      </c>
      <c r="Q105" s="277">
        <f>'Initial unit rates'!Q231</f>
        <v>1.5799873675519751E-3</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375</v>
      </c>
      <c r="G106" s="90" t="s">
        <v>269</v>
      </c>
      <c r="H106" s="264"/>
      <c r="I106" s="264" t="s">
        <v>154</v>
      </c>
      <c r="J106" s="278"/>
      <c r="K106" s="278"/>
      <c r="L106" s="278"/>
      <c r="M106" s="278"/>
      <c r="N106" s="278"/>
      <c r="O106" s="278"/>
      <c r="P106" s="278"/>
      <c r="Q106" s="276">
        <f>'Service model charges'!$Q$44</f>
        <v>0.51919065265771214</v>
      </c>
      <c r="R106" s="278"/>
      <c r="S106" s="278"/>
      <c r="T106" s="278"/>
      <c r="U106" s="278"/>
      <c r="V106" s="278"/>
      <c r="W106" s="278"/>
      <c r="X106" s="278"/>
      <c r="Y106" s="278"/>
      <c r="Z106" s="266"/>
      <c r="AA106" s="266" t="s">
        <v>652</v>
      </c>
    </row>
    <row r="107" spans="3:42" x14ac:dyDescent="0.25">
      <c r="D107"/>
      <c r="F107" s="91" t="s">
        <v>376</v>
      </c>
      <c r="G107" s="91" t="s">
        <v>269</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120</v>
      </c>
      <c r="H111" s="47"/>
      <c r="I111" t="s">
        <v>154</v>
      </c>
      <c r="J111" s="92"/>
      <c r="L111" s="92"/>
      <c r="AA111" t="s">
        <v>203</v>
      </c>
      <c r="AP111" s="3"/>
    </row>
    <row r="112" spans="3:42" x14ac:dyDescent="0.25">
      <c r="C112" s="60"/>
      <c r="D112"/>
      <c r="E112"/>
      <c r="F112" s="90" t="s">
        <v>191</v>
      </c>
      <c r="G112" s="90" t="s">
        <v>167</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192</v>
      </c>
      <c r="G113" t="s">
        <v>167</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193</v>
      </c>
      <c r="G114" t="s">
        <v>167</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194</v>
      </c>
      <c r="G115" t="s">
        <v>167</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195</v>
      </c>
      <c r="G116" t="s">
        <v>167</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196</v>
      </c>
      <c r="G117" t="s">
        <v>167</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197</v>
      </c>
      <c r="G118" t="s">
        <v>167</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198</v>
      </c>
      <c r="G119" t="s">
        <v>167</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199</v>
      </c>
      <c r="G120" s="91" t="s">
        <v>167</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653</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154</v>
      </c>
      <c r="AA125" t="s">
        <v>654</v>
      </c>
    </row>
    <row r="126" spans="2:42" x14ac:dyDescent="0.25">
      <c r="E126" s="60" t="s">
        <v>619</v>
      </c>
    </row>
    <row r="127" spans="2:42" x14ac:dyDescent="0.25">
      <c r="F127" s="90" t="s">
        <v>189</v>
      </c>
      <c r="G127" s="90" t="s">
        <v>269</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191</v>
      </c>
      <c r="G128" t="s">
        <v>269</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192</v>
      </c>
      <c r="G129" t="s">
        <v>269</v>
      </c>
      <c r="H129" s="266"/>
      <c r="I129" s="266"/>
      <c r="J129" s="280">
        <f t="shared" ref="J129:K129" si="14">J24 * (1 - J$113)</f>
        <v>0</v>
      </c>
      <c r="K129" s="280">
        <f t="shared" si="14"/>
        <v>0</v>
      </c>
      <c r="L129" s="280">
        <f t="shared" ref="L129:M129" si="15">L24 * (1 - L$113)</f>
        <v>0</v>
      </c>
      <c r="M129" s="280">
        <f t="shared" si="15"/>
        <v>0</v>
      </c>
      <c r="N129" s="280">
        <f t="shared" ref="N129:P129" si="16">N24 * (1 - N$113)</f>
        <v>0</v>
      </c>
      <c r="O129" s="280">
        <f t="shared" si="16"/>
        <v>0</v>
      </c>
      <c r="P129" s="280">
        <f t="shared" si="16"/>
        <v>0</v>
      </c>
      <c r="Q129" s="280">
        <f t="shared" ref="Q129:S129" si="17">Q24 * (1 - Q$113)</f>
        <v>0</v>
      </c>
      <c r="R129" s="280">
        <f t="shared" si="17"/>
        <v>0</v>
      </c>
      <c r="S129" s="280">
        <f t="shared" si="17"/>
        <v>0</v>
      </c>
      <c r="T129" s="280">
        <f t="shared" ref="T129:U129" si="18">T24 * (1 - T$113)</f>
        <v>0</v>
      </c>
      <c r="U129" s="280">
        <f t="shared" si="18"/>
        <v>0</v>
      </c>
      <c r="V129" s="280">
        <f t="shared" ref="V129:W129" si="19">V24 * (1 - V$113)</f>
        <v>0</v>
      </c>
      <c r="W129" s="280">
        <f t="shared" si="19"/>
        <v>0</v>
      </c>
      <c r="X129" s="280">
        <f t="shared" ref="X129:Y129" si="20">X24 * (1 - X$113)</f>
        <v>0</v>
      </c>
      <c r="Y129" s="280">
        <f t="shared" si="20"/>
        <v>0</v>
      </c>
      <c r="Z129" s="266"/>
      <c r="AA129" s="266"/>
    </row>
    <row r="130" spans="4:27" x14ac:dyDescent="0.25">
      <c r="F130" t="s">
        <v>193</v>
      </c>
      <c r="G130" t="s">
        <v>269</v>
      </c>
      <c r="H130" s="266"/>
      <c r="I130" s="266"/>
      <c r="J130" s="280">
        <f t="shared" ref="J130:K130" si="21">J25 * (1 - J$114)</f>
        <v>0</v>
      </c>
      <c r="K130" s="280">
        <f t="shared" si="21"/>
        <v>0</v>
      </c>
      <c r="L130" s="280">
        <f t="shared" ref="L130:M130" si="22">L25 * (1 - L$114)</f>
        <v>0</v>
      </c>
      <c r="M130" s="280">
        <f t="shared" si="22"/>
        <v>0</v>
      </c>
      <c r="N130" s="280">
        <f t="shared" ref="N130:P130" si="23">N25 * (1 - N$114)</f>
        <v>0</v>
      </c>
      <c r="O130" s="280">
        <f t="shared" si="23"/>
        <v>0</v>
      </c>
      <c r="P130" s="280">
        <f t="shared" si="23"/>
        <v>0</v>
      </c>
      <c r="Q130" s="280">
        <f t="shared" ref="Q130:S130" si="24">Q25 * (1 - Q$114)</f>
        <v>0</v>
      </c>
      <c r="R130" s="280">
        <f t="shared" si="24"/>
        <v>0</v>
      </c>
      <c r="S130" s="280">
        <f t="shared" si="24"/>
        <v>0</v>
      </c>
      <c r="T130" s="280">
        <f t="shared" ref="T130:U130" si="25">T25 * (1 - T$114)</f>
        <v>0</v>
      </c>
      <c r="U130" s="280">
        <f t="shared" si="25"/>
        <v>0</v>
      </c>
      <c r="V130" s="280">
        <f t="shared" ref="V130:W130" si="26">V25 * (1 - V$114)</f>
        <v>0</v>
      </c>
      <c r="W130" s="280">
        <f t="shared" si="26"/>
        <v>0</v>
      </c>
      <c r="X130" s="280">
        <f t="shared" ref="X130:Y130" si="27">X25 * (1 - X$114)</f>
        <v>0</v>
      </c>
      <c r="Y130" s="280">
        <f t="shared" si="27"/>
        <v>0</v>
      </c>
      <c r="Z130" s="266"/>
      <c r="AA130" s="266"/>
    </row>
    <row r="131" spans="4:27" x14ac:dyDescent="0.25">
      <c r="F131" t="s">
        <v>194</v>
      </c>
      <c r="G131" t="s">
        <v>269</v>
      </c>
      <c r="H131" s="266"/>
      <c r="I131" s="266"/>
      <c r="J131" s="280">
        <f t="shared" ref="J131:K131" si="28">J26 * (1 - J$115)</f>
        <v>2.5263300972532501</v>
      </c>
      <c r="K131" s="280">
        <f t="shared" si="28"/>
        <v>2.5263300972532501</v>
      </c>
      <c r="L131" s="280">
        <f t="shared" ref="L131:M131" si="29">L26 * (1 - L$115)</f>
        <v>2.9017422445193244</v>
      </c>
      <c r="M131" s="280">
        <f t="shared" si="29"/>
        <v>2.9017422445193244</v>
      </c>
      <c r="N131" s="280">
        <f t="shared" ref="N131:P131" si="30">N26 * (1 - N$115)</f>
        <v>2.5404425714400705</v>
      </c>
      <c r="O131" s="280">
        <f t="shared" si="30"/>
        <v>2.025235483443836</v>
      </c>
      <c r="P131" s="280">
        <f t="shared" si="30"/>
        <v>1.5671245882379317</v>
      </c>
      <c r="Q131" s="280">
        <f t="shared" ref="Q131:S131" si="31">Q26 * (1 - Q$115)</f>
        <v>5.8166154204280804</v>
      </c>
      <c r="R131" s="280">
        <f t="shared" si="31"/>
        <v>-1.8655125600822102</v>
      </c>
      <c r="S131" s="280">
        <f t="shared" si="31"/>
        <v>-1.7561723288781133</v>
      </c>
      <c r="T131" s="280">
        <f t="shared" ref="T131:U131" si="32">T26 * (1 - T$115)</f>
        <v>-1.8655125600822102</v>
      </c>
      <c r="U131" s="280">
        <f t="shared" si="32"/>
        <v>-1.8655125600822102</v>
      </c>
      <c r="V131" s="280">
        <f t="shared" ref="V131:W131" si="33">V26 * (1 - V$115)</f>
        <v>-1.7561723288781133</v>
      </c>
      <c r="W131" s="280">
        <f t="shared" si="33"/>
        <v>-1.7561723288781133</v>
      </c>
      <c r="X131" s="280">
        <f t="shared" ref="X131:Y131" si="34">X26 * (1 - X$115)</f>
        <v>-1.7242113382184541</v>
      </c>
      <c r="Y131" s="280">
        <f t="shared" si="34"/>
        <v>-1.7242113382184541</v>
      </c>
      <c r="Z131" s="266"/>
      <c r="AA131" s="266"/>
    </row>
    <row r="132" spans="4:27" x14ac:dyDescent="0.25">
      <c r="F132" t="s">
        <v>195</v>
      </c>
      <c r="G132" t="s">
        <v>269</v>
      </c>
      <c r="H132" s="266"/>
      <c r="I132" s="266"/>
      <c r="J132" s="280">
        <f t="shared" ref="J132:K132" si="35">J27 * (1 - J$116)</f>
        <v>0.5194030656159655</v>
      </c>
      <c r="K132" s="280">
        <f t="shared" si="35"/>
        <v>0.5194030656159655</v>
      </c>
      <c r="L132" s="280">
        <f t="shared" ref="L132:M132" si="36">L27 * (1 - L$116)</f>
        <v>0.59658625730238612</v>
      </c>
      <c r="M132" s="280">
        <f t="shared" si="36"/>
        <v>0.59658625730238612</v>
      </c>
      <c r="N132" s="280">
        <f t="shared" ref="N132:P132" si="37">N27 * (1 - N$116)</f>
        <v>0.5223045321994616</v>
      </c>
      <c r="O132" s="280">
        <f t="shared" si="37"/>
        <v>0.41638007631649254</v>
      </c>
      <c r="P132" s="280">
        <f t="shared" si="37"/>
        <v>0</v>
      </c>
      <c r="Q132" s="280">
        <f t="shared" ref="Q132:S132" si="38">Q27 * (1 - Q$116)</f>
        <v>1.2376706046830337</v>
      </c>
      <c r="R132" s="280">
        <f t="shared" si="38"/>
        <v>-0.38354170094608026</v>
      </c>
      <c r="S132" s="280">
        <f t="shared" si="38"/>
        <v>-0.36106179962823071</v>
      </c>
      <c r="T132" s="280">
        <f t="shared" ref="T132:U132" si="39">T27 * (1 - T$116)</f>
        <v>-0.38354170094608026</v>
      </c>
      <c r="U132" s="280">
        <f t="shared" si="39"/>
        <v>-0.38354170094608026</v>
      </c>
      <c r="V132" s="280">
        <f t="shared" ref="V132:W132" si="40">V27 * (1 - V$116)</f>
        <v>-0.36106179962823071</v>
      </c>
      <c r="W132" s="280">
        <f t="shared" si="40"/>
        <v>-0.36106179962823071</v>
      </c>
      <c r="X132" s="280">
        <f t="shared" ref="X132:Y132" si="41">X27 * (1 - X$116)</f>
        <v>-0.35449075155070536</v>
      </c>
      <c r="Y132" s="280">
        <f t="shared" si="41"/>
        <v>-0.35449075155070536</v>
      </c>
      <c r="Z132" s="266"/>
      <c r="AA132" s="266"/>
    </row>
    <row r="133" spans="4:27" x14ac:dyDescent="0.25">
      <c r="F133" t="s">
        <v>196</v>
      </c>
      <c r="G133" t="s">
        <v>269</v>
      </c>
      <c r="H133" s="266"/>
      <c r="I133" s="266"/>
      <c r="J133" s="280">
        <f t="shared" ref="J133:K133" si="42">J28 * (1 - J$117)</f>
        <v>0</v>
      </c>
      <c r="K133" s="280">
        <f t="shared" si="42"/>
        <v>0</v>
      </c>
      <c r="L133" s="280">
        <f t="shared" ref="L133:M133" si="43">L28 * (1 - L$117)</f>
        <v>0</v>
      </c>
      <c r="M133" s="280">
        <f t="shared" si="43"/>
        <v>0</v>
      </c>
      <c r="N133" s="280">
        <f t="shared" ref="N133:P133" si="44">N28 * (1 - N$117)</f>
        <v>0</v>
      </c>
      <c r="O133" s="280">
        <f t="shared" si="44"/>
        <v>0</v>
      </c>
      <c r="P133" s="280">
        <f t="shared" si="44"/>
        <v>0</v>
      </c>
      <c r="Q133" s="280">
        <f t="shared" ref="Q133:S133" si="45">Q28 * (1 - Q$117)</f>
        <v>0</v>
      </c>
      <c r="R133" s="280">
        <f t="shared" si="45"/>
        <v>0</v>
      </c>
      <c r="S133" s="280">
        <f t="shared" si="45"/>
        <v>0</v>
      </c>
      <c r="T133" s="280">
        <f t="shared" ref="T133:U133" si="46">T28 * (1 - T$117)</f>
        <v>0</v>
      </c>
      <c r="U133" s="280">
        <f t="shared" si="46"/>
        <v>0</v>
      </c>
      <c r="V133" s="280">
        <f t="shared" ref="V133:W133" si="47">V28 * (1 - V$117)</f>
        <v>0</v>
      </c>
      <c r="W133" s="280">
        <f t="shared" si="47"/>
        <v>0</v>
      </c>
      <c r="X133" s="280">
        <f t="shared" ref="X133:Y133" si="48">X28 * (1 - X$117)</f>
        <v>0</v>
      </c>
      <c r="Y133" s="280">
        <f t="shared" si="48"/>
        <v>0</v>
      </c>
      <c r="Z133" s="266"/>
      <c r="AA133" s="266"/>
    </row>
    <row r="134" spans="4:27" x14ac:dyDescent="0.25">
      <c r="F134" t="s">
        <v>197</v>
      </c>
      <c r="G134" t="s">
        <v>269</v>
      </c>
      <c r="H134" s="266"/>
      <c r="I134" s="266"/>
      <c r="J134" s="280">
        <f t="shared" ref="J134:K134" si="49">J29 * (1 - J$118)</f>
        <v>2.2344865391360926</v>
      </c>
      <c r="K134" s="280">
        <f t="shared" si="49"/>
        <v>2.2344865391360926</v>
      </c>
      <c r="L134" s="280">
        <f t="shared" ref="L134:M134" si="50">L29 * (1 - L$118)</f>
        <v>2.566530792025397</v>
      </c>
      <c r="M134" s="280">
        <f t="shared" si="50"/>
        <v>2.566530792025397</v>
      </c>
      <c r="N134" s="280">
        <f t="shared" ref="N134:P134" si="51">N29 * (1 - N$118)</f>
        <v>1.7975749837293173</v>
      </c>
      <c r="O134" s="280">
        <f t="shared" si="51"/>
        <v>0</v>
      </c>
      <c r="P134" s="280">
        <f t="shared" si="51"/>
        <v>0</v>
      </c>
      <c r="Q134" s="280">
        <f t="shared" ref="Q134:S134" si="52">Q29 * (1 - Q$118)</f>
        <v>5.3244936141625629</v>
      </c>
      <c r="R134" s="280">
        <f t="shared" si="52"/>
        <v>-1.6500071422278375</v>
      </c>
      <c r="S134" s="280">
        <f t="shared" si="52"/>
        <v>-1.5532979769935642</v>
      </c>
      <c r="T134" s="280">
        <f t="shared" ref="T134:U134" si="53">T29 * (1 - T$118)</f>
        <v>-1.6500071422278375</v>
      </c>
      <c r="U134" s="280">
        <f t="shared" si="53"/>
        <v>-1.6500071422278375</v>
      </c>
      <c r="V134" s="280">
        <f t="shared" ref="V134:W134" si="54">V29 * (1 - V$118)</f>
        <v>-1.5532979769935642</v>
      </c>
      <c r="W134" s="280">
        <f t="shared" si="54"/>
        <v>-1.5532979769935642</v>
      </c>
      <c r="X134" s="280">
        <f t="shared" ref="X134:Y134" si="55">X29 * (1 - X$118)</f>
        <v>0</v>
      </c>
      <c r="Y134" s="280">
        <f t="shared" si="55"/>
        <v>0</v>
      </c>
      <c r="Z134" s="266"/>
      <c r="AA134" s="266"/>
    </row>
    <row r="135" spans="4:27" x14ac:dyDescent="0.25">
      <c r="F135" t="s">
        <v>198</v>
      </c>
      <c r="G135" t="s">
        <v>269</v>
      </c>
      <c r="H135" s="266"/>
      <c r="I135" s="266"/>
      <c r="J135" s="280">
        <f t="shared" ref="J135:K135" si="56">J30 * (1 - J$119)</f>
        <v>0.56158973772189924</v>
      </c>
      <c r="K135" s="280">
        <f t="shared" si="56"/>
        <v>0.56158973772189924</v>
      </c>
      <c r="L135" s="280">
        <f t="shared" ref="L135:M135" si="57">L30 * (1 - L$119)</f>
        <v>0.6450418604472673</v>
      </c>
      <c r="M135" s="280">
        <f t="shared" si="57"/>
        <v>0.6450418604472673</v>
      </c>
      <c r="N135" s="280">
        <f t="shared" ref="N135:P135" si="58">N30 * (1 - N$119)</f>
        <v>0</v>
      </c>
      <c r="O135" s="280">
        <f t="shared" si="58"/>
        <v>0</v>
      </c>
      <c r="P135" s="280">
        <f t="shared" si="58"/>
        <v>0</v>
      </c>
      <c r="Q135" s="280">
        <f t="shared" ref="Q135:S135" si="59">Q30 * (1 - Q$119)</f>
        <v>1.3381960105409982</v>
      </c>
      <c r="R135" s="280">
        <f t="shared" si="59"/>
        <v>-0.41469351549606936</v>
      </c>
      <c r="S135" s="280">
        <f t="shared" si="59"/>
        <v>0</v>
      </c>
      <c r="T135" s="280">
        <f t="shared" ref="T135:U135" si="60">T30 * (1 - T$119)</f>
        <v>-0.41469351549606936</v>
      </c>
      <c r="U135" s="280">
        <f t="shared" si="60"/>
        <v>-0.41469351549606936</v>
      </c>
      <c r="V135" s="280">
        <f t="shared" ref="V135:W135" si="61">V30 * (1 - V$119)</f>
        <v>0</v>
      </c>
      <c r="W135" s="280">
        <f t="shared" si="61"/>
        <v>0</v>
      </c>
      <c r="X135" s="280">
        <f t="shared" ref="X135:Y135" si="62">X30 * (1 - X$119)</f>
        <v>0</v>
      </c>
      <c r="Y135" s="280">
        <f t="shared" si="62"/>
        <v>0</v>
      </c>
      <c r="Z135" s="266"/>
      <c r="AA135" s="266"/>
    </row>
    <row r="136" spans="4:27" x14ac:dyDescent="0.25">
      <c r="F136" t="s">
        <v>199</v>
      </c>
      <c r="G136" t="s">
        <v>269</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2.2508879980629897</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375</v>
      </c>
      <c r="G137" s="90" t="s">
        <v>269</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376</v>
      </c>
      <c r="G138" s="91" t="s">
        <v>269</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620</v>
      </c>
      <c r="J140" s="101"/>
      <c r="K140" s="101"/>
      <c r="L140" s="101"/>
      <c r="M140" s="101"/>
      <c r="N140" s="101"/>
      <c r="O140" s="101"/>
      <c r="P140" s="101"/>
      <c r="Q140" s="101"/>
      <c r="R140" s="101"/>
      <c r="S140" s="101"/>
      <c r="T140" s="101"/>
      <c r="U140" s="101"/>
      <c r="V140" s="101"/>
      <c r="W140" s="101"/>
      <c r="X140" s="101"/>
      <c r="Y140" s="101"/>
    </row>
    <row r="141" spans="4:27" x14ac:dyDescent="0.25">
      <c r="F141" s="90" t="s">
        <v>189</v>
      </c>
      <c r="G141" s="90" t="s">
        <v>269</v>
      </c>
      <c r="H141" s="264"/>
      <c r="I141" s="264"/>
      <c r="J141" s="279">
        <f t="shared" ref="J141:K141" si="70">J36 * (1 - J$112)</f>
        <v>1.5383876244277608</v>
      </c>
      <c r="K141" s="279">
        <f t="shared" si="70"/>
        <v>1.5383876244277608</v>
      </c>
      <c r="L141" s="279">
        <f t="shared" ref="L141:M141" si="71">L36 * (1 - L$112)</f>
        <v>1.7669917177890753</v>
      </c>
      <c r="M141" s="279">
        <f t="shared" si="71"/>
        <v>1.7669917177890753</v>
      </c>
      <c r="N141" s="279">
        <f t="shared" ref="N141:P141" si="72">N36 * (1 - N$112)</f>
        <v>1.5469812977813204</v>
      </c>
      <c r="O141" s="279">
        <f t="shared" si="72"/>
        <v>1.2332502421870366</v>
      </c>
      <c r="P141" s="279">
        <f t="shared" si="72"/>
        <v>1.19285929573439</v>
      </c>
      <c r="Q141" s="279">
        <f t="shared" ref="Q141:S141" si="73">Q36 * (1 - Q$112)</f>
        <v>3.5419794066385726</v>
      </c>
      <c r="R141" s="279">
        <f t="shared" si="73"/>
        <v>-1.135988301277532</v>
      </c>
      <c r="S141" s="279">
        <f t="shared" si="73"/>
        <v>-1.0694064801927354</v>
      </c>
      <c r="T141" s="279">
        <f t="shared" ref="T141:U141" si="74">T36 * (1 - T$112)</f>
        <v>-1.135988301277532</v>
      </c>
      <c r="U141" s="279">
        <f t="shared" si="74"/>
        <v>-1.135988301277532</v>
      </c>
      <c r="V141" s="279">
        <f t="shared" ref="V141:W141" si="75">V36 * (1 - V$112)</f>
        <v>-1.0694064801927354</v>
      </c>
      <c r="W141" s="279">
        <f t="shared" si="75"/>
        <v>-1.0694064801927354</v>
      </c>
      <c r="X141" s="279">
        <f t="shared" ref="X141:Y141" si="76">X36 * (1 - X$112)</f>
        <v>-1.0499441017217945</v>
      </c>
      <c r="Y141" s="279">
        <f t="shared" si="76"/>
        <v>-1.0499441017217945</v>
      </c>
      <c r="Z141" s="266"/>
      <c r="AA141" s="266"/>
    </row>
    <row r="142" spans="4:27" x14ac:dyDescent="0.25">
      <c r="F142" t="s">
        <v>191</v>
      </c>
      <c r="G142" t="s">
        <v>269</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192</v>
      </c>
      <c r="G143" t="s">
        <v>269</v>
      </c>
      <c r="H143" s="266"/>
      <c r="I143" s="266"/>
      <c r="J143" s="280">
        <f t="shared" ref="J143:K143" si="84">J38 * (1 - J$113)</f>
        <v>0</v>
      </c>
      <c r="K143" s="280">
        <f t="shared" si="84"/>
        <v>0</v>
      </c>
      <c r="L143" s="280">
        <f t="shared" ref="L143:M143" si="85">L38 * (1 - L$113)</f>
        <v>0</v>
      </c>
      <c r="M143" s="280">
        <f t="shared" si="85"/>
        <v>0</v>
      </c>
      <c r="N143" s="280">
        <f t="shared" ref="N143:P143" si="86">N38 * (1 - N$113)</f>
        <v>0</v>
      </c>
      <c r="O143" s="280">
        <f t="shared" si="86"/>
        <v>0</v>
      </c>
      <c r="P143" s="280">
        <f t="shared" si="86"/>
        <v>0</v>
      </c>
      <c r="Q143" s="280">
        <f t="shared" ref="Q143:S143" si="87">Q38 * (1 - Q$113)</f>
        <v>0</v>
      </c>
      <c r="R143" s="280">
        <f t="shared" si="87"/>
        <v>0</v>
      </c>
      <c r="S143" s="280">
        <f t="shared" si="87"/>
        <v>0</v>
      </c>
      <c r="T143" s="280">
        <f t="shared" ref="T143:U143" si="88">T38 * (1 - T$113)</f>
        <v>0</v>
      </c>
      <c r="U143" s="280">
        <f t="shared" si="88"/>
        <v>0</v>
      </c>
      <c r="V143" s="280">
        <f t="shared" ref="V143:W143" si="89">V38 * (1 - V$113)</f>
        <v>0</v>
      </c>
      <c r="W143" s="280">
        <f t="shared" si="89"/>
        <v>0</v>
      </c>
      <c r="X143" s="280">
        <f t="shared" ref="X143:Y143" si="90">X38 * (1 - X$113)</f>
        <v>0</v>
      </c>
      <c r="Y143" s="280">
        <f t="shared" si="90"/>
        <v>0</v>
      </c>
      <c r="Z143" s="266"/>
      <c r="AA143" s="266"/>
    </row>
    <row r="144" spans="4:27" x14ac:dyDescent="0.25">
      <c r="F144" t="s">
        <v>193</v>
      </c>
      <c r="G144" t="s">
        <v>269</v>
      </c>
      <c r="H144" s="266"/>
      <c r="I144" s="266"/>
      <c r="J144" s="280">
        <f t="shared" ref="J144:K144" si="91">J39 * (1 - J$114)</f>
        <v>0</v>
      </c>
      <c r="K144" s="280">
        <f t="shared" si="91"/>
        <v>0</v>
      </c>
      <c r="L144" s="280">
        <f t="shared" ref="L144:M144" si="92">L39 * (1 - L$114)</f>
        <v>0</v>
      </c>
      <c r="M144" s="280">
        <f t="shared" si="92"/>
        <v>0</v>
      </c>
      <c r="N144" s="280">
        <f t="shared" ref="N144:P144" si="93">N39 * (1 - N$114)</f>
        <v>0</v>
      </c>
      <c r="O144" s="280">
        <f t="shared" si="93"/>
        <v>0</v>
      </c>
      <c r="P144" s="280">
        <f t="shared" si="93"/>
        <v>0</v>
      </c>
      <c r="Q144" s="280">
        <f t="shared" ref="Q144:S144" si="94">Q39 * (1 - Q$114)</f>
        <v>0</v>
      </c>
      <c r="R144" s="280">
        <f t="shared" si="94"/>
        <v>0</v>
      </c>
      <c r="S144" s="280">
        <f t="shared" si="94"/>
        <v>0</v>
      </c>
      <c r="T144" s="280">
        <f t="shared" ref="T144:U144" si="95">T39 * (1 - T$114)</f>
        <v>0</v>
      </c>
      <c r="U144" s="280">
        <f t="shared" si="95"/>
        <v>0</v>
      </c>
      <c r="V144" s="280">
        <f t="shared" ref="V144:W144" si="96">V39 * (1 - V$114)</f>
        <v>0</v>
      </c>
      <c r="W144" s="280">
        <f t="shared" si="96"/>
        <v>0</v>
      </c>
      <c r="X144" s="280">
        <f t="shared" ref="X144:Y144" si="97">X39 * (1 - X$114)</f>
        <v>0</v>
      </c>
      <c r="Y144" s="280">
        <f t="shared" si="97"/>
        <v>0</v>
      </c>
      <c r="Z144" s="266"/>
      <c r="AA144" s="266"/>
    </row>
    <row r="145" spans="3:27" x14ac:dyDescent="0.25">
      <c r="F145" t="s">
        <v>194</v>
      </c>
      <c r="G145" t="s">
        <v>269</v>
      </c>
      <c r="H145" s="266"/>
      <c r="I145" s="266"/>
      <c r="J145" s="280">
        <f t="shared" ref="J145:K145" si="98">J40 * (1 - J$115)</f>
        <v>1.8934749670098119</v>
      </c>
      <c r="K145" s="280">
        <f t="shared" si="98"/>
        <v>1.8934749670098119</v>
      </c>
      <c r="L145" s="280">
        <f t="shared" ref="L145:M145" si="99">L40 * (1 - L$115)</f>
        <v>2.1748449684726316</v>
      </c>
      <c r="M145" s="280">
        <f t="shared" si="99"/>
        <v>2.1748449684726316</v>
      </c>
      <c r="N145" s="280">
        <f t="shared" ref="N145:P145" si="100">N40 * (1 - N$115)</f>
        <v>1.9040522136745963</v>
      </c>
      <c r="O145" s="280">
        <f t="shared" si="100"/>
        <v>1.5179064265474362</v>
      </c>
      <c r="P145" s="280">
        <f t="shared" si="100"/>
        <v>1.1745540225484736</v>
      </c>
      <c r="Q145" s="280">
        <f t="shared" ref="Q145:S145" si="101">Q40 * (1 - Q$115)</f>
        <v>4.3595315209514247</v>
      </c>
      <c r="R145" s="280">
        <f t="shared" si="101"/>
        <v>-1.3981946923715725</v>
      </c>
      <c r="S145" s="280">
        <f t="shared" si="101"/>
        <v>-1.3162445976879367</v>
      </c>
      <c r="T145" s="280">
        <f t="shared" ref="T145:U145" si="102">T40 * (1 - T$115)</f>
        <v>-1.3981946923715725</v>
      </c>
      <c r="U145" s="280">
        <f t="shared" si="102"/>
        <v>-1.3981946923715725</v>
      </c>
      <c r="V145" s="280">
        <f t="shared" ref="V145:W145" si="103">V40 * (1 - V$115)</f>
        <v>-1.3162445976879367</v>
      </c>
      <c r="W145" s="280">
        <f t="shared" si="103"/>
        <v>-1.3162445976879367</v>
      </c>
      <c r="X145" s="280">
        <f t="shared" ref="X145:Y145" si="104">X40 * (1 - X$115)</f>
        <v>-1.292289954626566</v>
      </c>
      <c r="Y145" s="280">
        <f t="shared" si="104"/>
        <v>-1.292289954626566</v>
      </c>
      <c r="Z145" s="266"/>
      <c r="AA145" s="266"/>
    </row>
    <row r="146" spans="3:27" x14ac:dyDescent="0.25">
      <c r="F146" t="s">
        <v>195</v>
      </c>
      <c r="G146" t="s">
        <v>269</v>
      </c>
      <c r="H146" s="266"/>
      <c r="I146" s="266"/>
      <c r="J146" s="280">
        <f t="shared" ref="J146:K146" si="105">J41 * (1 - J$116)</f>
        <v>0.38929065667280344</v>
      </c>
      <c r="K146" s="280">
        <f t="shared" si="105"/>
        <v>0.38929065667280344</v>
      </c>
      <c r="L146" s="280">
        <f t="shared" ref="L146:M146" si="106">L41 * (1 - L$116)</f>
        <v>0.44713917040861834</v>
      </c>
      <c r="M146" s="280">
        <f t="shared" si="106"/>
        <v>0.44713917040861834</v>
      </c>
      <c r="N146" s="280">
        <f t="shared" ref="N146:P146" si="107">N41 * (1 - N$116)</f>
        <v>0.39146529503436928</v>
      </c>
      <c r="O146" s="280">
        <f t="shared" si="107"/>
        <v>0.31207531118918558</v>
      </c>
      <c r="P146" s="280">
        <f t="shared" si="107"/>
        <v>0</v>
      </c>
      <c r="Q146" s="280">
        <f t="shared" ref="Q146:S146" si="108">Q41 * (1 - Q$116)</f>
        <v>0.92762949304177889</v>
      </c>
      <c r="R146" s="280">
        <f t="shared" si="108"/>
        <v>-0.28746307156588735</v>
      </c>
      <c r="S146" s="280">
        <f t="shared" si="108"/>
        <v>-0.27061446953542517</v>
      </c>
      <c r="T146" s="280">
        <f t="shared" ref="T146:U146" si="109">T41 * (1 - T$116)</f>
        <v>-0.28746307156588735</v>
      </c>
      <c r="U146" s="280">
        <f t="shared" si="109"/>
        <v>-0.28746307156588735</v>
      </c>
      <c r="V146" s="280">
        <f t="shared" ref="V146:W146" si="110">V41 * (1 - V$116)</f>
        <v>-0.27061446953542517</v>
      </c>
      <c r="W146" s="280">
        <f t="shared" si="110"/>
        <v>-0.27061446953542517</v>
      </c>
      <c r="X146" s="280">
        <f t="shared" ref="X146:Y146" si="111">X41 * (1 - X$116)</f>
        <v>-0.26568949355728994</v>
      </c>
      <c r="Y146" s="280">
        <f t="shared" si="111"/>
        <v>-0.26568949355728994</v>
      </c>
      <c r="Z146" s="266"/>
      <c r="AA146" s="266"/>
    </row>
    <row r="147" spans="3:27" x14ac:dyDescent="0.25">
      <c r="F147" t="s">
        <v>196</v>
      </c>
      <c r="G147" t="s">
        <v>269</v>
      </c>
      <c r="H147" s="266"/>
      <c r="I147" s="266"/>
      <c r="J147" s="280">
        <f t="shared" ref="J147:K147" si="112">J42 * (1 - J$117)</f>
        <v>0</v>
      </c>
      <c r="K147" s="280">
        <f t="shared" si="112"/>
        <v>0</v>
      </c>
      <c r="L147" s="280">
        <f t="shared" ref="L147:M147" si="113">L42 * (1 - L$117)</f>
        <v>0</v>
      </c>
      <c r="M147" s="280">
        <f t="shared" si="113"/>
        <v>0</v>
      </c>
      <c r="N147" s="280">
        <f t="shared" ref="N147:P147" si="114">N42 * (1 - N$117)</f>
        <v>0</v>
      </c>
      <c r="O147" s="280">
        <f t="shared" si="114"/>
        <v>0</v>
      </c>
      <c r="P147" s="280">
        <f t="shared" si="114"/>
        <v>0</v>
      </c>
      <c r="Q147" s="280">
        <f t="shared" ref="Q147:S147" si="115">Q42 * (1 - Q$117)</f>
        <v>0</v>
      </c>
      <c r="R147" s="280">
        <f t="shared" si="115"/>
        <v>0</v>
      </c>
      <c r="S147" s="280">
        <f t="shared" si="115"/>
        <v>0</v>
      </c>
      <c r="T147" s="280">
        <f t="shared" ref="T147:U147" si="116">T42 * (1 - T$117)</f>
        <v>0</v>
      </c>
      <c r="U147" s="280">
        <f t="shared" si="116"/>
        <v>0</v>
      </c>
      <c r="V147" s="280">
        <f t="shared" ref="V147:W147" si="117">V42 * (1 - V$117)</f>
        <v>0</v>
      </c>
      <c r="W147" s="280">
        <f t="shared" si="117"/>
        <v>0</v>
      </c>
      <c r="X147" s="280">
        <f t="shared" ref="X147:Y147" si="118">X42 * (1 - X$117)</f>
        <v>0</v>
      </c>
      <c r="Y147" s="280">
        <f t="shared" si="118"/>
        <v>0</v>
      </c>
      <c r="Z147" s="266"/>
      <c r="AA147" s="266"/>
    </row>
    <row r="148" spans="3:27" x14ac:dyDescent="0.25">
      <c r="F148" t="s">
        <v>197</v>
      </c>
      <c r="G148" t="s">
        <v>269</v>
      </c>
      <c r="H148" s="266"/>
      <c r="I148" s="266"/>
      <c r="J148" s="280">
        <f t="shared" ref="J148:K148" si="119">J43 * (1 - J$118)</f>
        <v>1.6747393108187529</v>
      </c>
      <c r="K148" s="280">
        <f t="shared" si="119"/>
        <v>1.6747393108187529</v>
      </c>
      <c r="L148" s="280">
        <f t="shared" ref="L148:M148" si="120">L43 * (1 - L$118)</f>
        <v>1.9236052375117636</v>
      </c>
      <c r="M148" s="280">
        <f t="shared" si="120"/>
        <v>1.9236052375117636</v>
      </c>
      <c r="N148" s="280">
        <f t="shared" ref="N148:P148" si="121">N43 * (1 - N$118)</f>
        <v>1.3472757327774234</v>
      </c>
      <c r="O148" s="280">
        <f t="shared" si="121"/>
        <v>0</v>
      </c>
      <c r="P148" s="280">
        <f t="shared" si="121"/>
        <v>0</v>
      </c>
      <c r="Q148" s="280">
        <f t="shared" ref="Q148:S148" si="122">Q43 * (1 - Q$118)</f>
        <v>3.990688066211868</v>
      </c>
      <c r="R148" s="280">
        <f t="shared" si="122"/>
        <v>-1.2366741870322659</v>
      </c>
      <c r="S148" s="280">
        <f t="shared" si="122"/>
        <v>-1.1641910290907895</v>
      </c>
      <c r="T148" s="280">
        <f t="shared" ref="T148:U148" si="123">T43 * (1 - T$118)</f>
        <v>-1.2366741870322659</v>
      </c>
      <c r="U148" s="280">
        <f t="shared" si="123"/>
        <v>-1.2366741870322659</v>
      </c>
      <c r="V148" s="280">
        <f t="shared" ref="V148:W148" si="124">V43 * (1 - V$118)</f>
        <v>-1.1641910290907895</v>
      </c>
      <c r="W148" s="280">
        <f t="shared" si="124"/>
        <v>-1.1641910290907895</v>
      </c>
      <c r="X148" s="280">
        <f t="shared" ref="X148:Y148" si="125">X43 * (1 - X$118)</f>
        <v>0</v>
      </c>
      <c r="Y148" s="280">
        <f t="shared" si="125"/>
        <v>0</v>
      </c>
      <c r="Z148" s="266"/>
      <c r="AA148" s="266"/>
    </row>
    <row r="149" spans="3:27" x14ac:dyDescent="0.25">
      <c r="F149" t="s">
        <v>198</v>
      </c>
      <c r="G149" t="s">
        <v>269</v>
      </c>
      <c r="H149" s="266"/>
      <c r="I149" s="266"/>
      <c r="J149" s="280">
        <f t="shared" ref="J149:K149" si="126">J44 * (1 - J$119)</f>
        <v>0.42090940976484226</v>
      </c>
      <c r="K149" s="280">
        <f t="shared" si="126"/>
        <v>0.42090940976484226</v>
      </c>
      <c r="L149" s="280">
        <f t="shared" ref="L149:M149" si="127">L44 * (1 - L$119)</f>
        <v>0.483456463887388</v>
      </c>
      <c r="M149" s="280">
        <f t="shared" si="127"/>
        <v>0.483456463887388</v>
      </c>
      <c r="N149" s="280">
        <f t="shared" ref="N149:P149" si="128">N44 * (1 - N$119)</f>
        <v>0</v>
      </c>
      <c r="O149" s="280">
        <f t="shared" si="128"/>
        <v>0</v>
      </c>
      <c r="P149" s="280">
        <f t="shared" si="128"/>
        <v>0</v>
      </c>
      <c r="Q149" s="280">
        <f t="shared" ref="Q149:S149" si="129">Q44 * (1 - Q$119)</f>
        <v>1.0029729090694419</v>
      </c>
      <c r="R149" s="280">
        <f t="shared" si="129"/>
        <v>-0.31081124015694683</v>
      </c>
      <c r="S149" s="280">
        <f t="shared" si="129"/>
        <v>0</v>
      </c>
      <c r="T149" s="280">
        <f t="shared" ref="T149:U149" si="130">T44 * (1 - T$119)</f>
        <v>-0.31081124015694683</v>
      </c>
      <c r="U149" s="280">
        <f t="shared" si="130"/>
        <v>-0.31081124015694683</v>
      </c>
      <c r="V149" s="280">
        <f t="shared" ref="V149:W149" si="131">V44 * (1 - V$119)</f>
        <v>0</v>
      </c>
      <c r="W149" s="280">
        <f t="shared" si="131"/>
        <v>0</v>
      </c>
      <c r="X149" s="280">
        <f t="shared" ref="X149:Y149" si="132">X44 * (1 - X$119)</f>
        <v>0</v>
      </c>
      <c r="Y149" s="280">
        <f t="shared" si="132"/>
        <v>0</v>
      </c>
      <c r="Z149" s="266"/>
      <c r="AA149" s="266"/>
    </row>
    <row r="150" spans="3:27" x14ac:dyDescent="0.25">
      <c r="F150" t="s">
        <v>199</v>
      </c>
      <c r="G150" t="s">
        <v>269</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1.6870321429923019</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375</v>
      </c>
      <c r="G151" s="90" t="s">
        <v>269</v>
      </c>
      <c r="H151" s="264"/>
      <c r="I151" s="264" t="s">
        <v>154</v>
      </c>
      <c r="J151" s="278"/>
      <c r="K151" s="278"/>
      <c r="L151" s="278"/>
      <c r="M151" s="278"/>
      <c r="N151" s="278"/>
      <c r="O151" s="278"/>
      <c r="P151" s="278"/>
      <c r="Q151" s="281">
        <f t="shared" ref="Q151" si="140">Q46</f>
        <v>0.51919065265771214</v>
      </c>
      <c r="R151" s="278"/>
      <c r="S151" s="278"/>
      <c r="T151" s="278"/>
      <c r="U151" s="278"/>
      <c r="V151" s="278"/>
      <c r="W151" s="278"/>
      <c r="X151" s="278"/>
      <c r="Y151" s="278"/>
      <c r="Z151" s="266"/>
      <c r="AA151" s="266" t="s">
        <v>652</v>
      </c>
    </row>
    <row r="152" spans="3:27" x14ac:dyDescent="0.25">
      <c r="D152"/>
      <c r="F152" s="91" t="s">
        <v>376</v>
      </c>
      <c r="G152" s="91" t="s">
        <v>269</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154</v>
      </c>
      <c r="J155" s="101"/>
      <c r="K155" s="101"/>
      <c r="L155" s="101"/>
      <c r="M155" s="101"/>
      <c r="N155" s="101"/>
      <c r="O155" s="101"/>
      <c r="P155" s="101"/>
      <c r="Q155" s="101"/>
      <c r="R155" s="101"/>
      <c r="S155" s="101"/>
      <c r="T155" s="101"/>
      <c r="U155" s="101"/>
      <c r="V155" s="101"/>
      <c r="W155" s="101"/>
      <c r="X155" s="101"/>
      <c r="Y155" s="101"/>
      <c r="AA155" t="s">
        <v>654</v>
      </c>
    </row>
    <row r="156" spans="3:27" x14ac:dyDescent="0.25">
      <c r="E156" s="60" t="s">
        <v>619</v>
      </c>
      <c r="J156" s="101"/>
      <c r="K156" s="101"/>
      <c r="L156" s="101"/>
      <c r="M156" s="101"/>
      <c r="N156" s="101"/>
      <c r="O156" s="101"/>
      <c r="P156" s="101"/>
      <c r="Q156" s="101"/>
      <c r="R156" s="101"/>
      <c r="S156" s="101"/>
      <c r="T156" s="101"/>
      <c r="U156" s="101"/>
      <c r="V156" s="101"/>
      <c r="W156" s="101"/>
      <c r="X156" s="101"/>
      <c r="Y156" s="101"/>
    </row>
    <row r="157" spans="3:27" x14ac:dyDescent="0.25">
      <c r="F157" s="90" t="s">
        <v>189</v>
      </c>
      <c r="G157" s="90" t="s">
        <v>269</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191</v>
      </c>
      <c r="G158" t="s">
        <v>269</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192</v>
      </c>
      <c r="G159" t="s">
        <v>269</v>
      </c>
      <c r="H159" s="266"/>
      <c r="I159" s="266"/>
      <c r="J159" s="280">
        <f t="shared" ref="J159:K159" si="155">J54 * (1 - J$113)</f>
        <v>0</v>
      </c>
      <c r="K159" s="280">
        <f t="shared" si="155"/>
        <v>0</v>
      </c>
      <c r="L159" s="280">
        <f t="shared" ref="L159:M159" si="156">L54 * (1 - L$113)</f>
        <v>0</v>
      </c>
      <c r="M159" s="280">
        <f t="shared" si="156"/>
        <v>0</v>
      </c>
      <c r="N159" s="280">
        <f t="shared" ref="N159:P159" si="157">N54 * (1 - N$113)</f>
        <v>0</v>
      </c>
      <c r="O159" s="280">
        <f t="shared" si="157"/>
        <v>0</v>
      </c>
      <c r="P159" s="280">
        <f t="shared" si="157"/>
        <v>0</v>
      </c>
      <c r="Q159" s="280">
        <f t="shared" ref="Q159:S159" si="158">Q54 * (1 - Q$113)</f>
        <v>0</v>
      </c>
      <c r="R159" s="280">
        <f t="shared" si="158"/>
        <v>0</v>
      </c>
      <c r="S159" s="280">
        <f t="shared" si="158"/>
        <v>0</v>
      </c>
      <c r="T159" s="280">
        <f t="shared" ref="T159:U159" si="159">T54 * (1 - T$113)</f>
        <v>0</v>
      </c>
      <c r="U159" s="280">
        <f t="shared" si="159"/>
        <v>0</v>
      </c>
      <c r="V159" s="280">
        <f t="shared" ref="V159:W159" si="160">V54 * (1 - V$113)</f>
        <v>0</v>
      </c>
      <c r="W159" s="280">
        <f t="shared" si="160"/>
        <v>0</v>
      </c>
      <c r="X159" s="280">
        <f t="shared" ref="X159:Y159" si="161">X54 * (1 - X$113)</f>
        <v>0</v>
      </c>
      <c r="Y159" s="280">
        <f t="shared" si="161"/>
        <v>0</v>
      </c>
      <c r="Z159" s="266"/>
      <c r="AA159" s="266"/>
    </row>
    <row r="160" spans="3:27" x14ac:dyDescent="0.25">
      <c r="F160" t="s">
        <v>193</v>
      </c>
      <c r="G160" t="s">
        <v>269</v>
      </c>
      <c r="H160" s="266"/>
      <c r="I160" s="266"/>
      <c r="J160" s="280">
        <f t="shared" ref="J160:K160" si="162">J55 * (1 - J$114)</f>
        <v>0</v>
      </c>
      <c r="K160" s="280">
        <f t="shared" si="162"/>
        <v>0</v>
      </c>
      <c r="L160" s="280">
        <f t="shared" ref="L160:M160" si="163">L55 * (1 - L$114)</f>
        <v>0</v>
      </c>
      <c r="M160" s="280">
        <f t="shared" si="163"/>
        <v>0</v>
      </c>
      <c r="N160" s="280">
        <f t="shared" ref="N160:P160" si="164">N55 * (1 - N$114)</f>
        <v>0</v>
      </c>
      <c r="O160" s="280">
        <f t="shared" si="164"/>
        <v>0</v>
      </c>
      <c r="P160" s="280">
        <f t="shared" si="164"/>
        <v>0</v>
      </c>
      <c r="Q160" s="280">
        <f t="shared" ref="Q160:S160" si="165">Q55 * (1 - Q$114)</f>
        <v>0</v>
      </c>
      <c r="R160" s="280">
        <f t="shared" si="165"/>
        <v>0</v>
      </c>
      <c r="S160" s="280">
        <f t="shared" si="165"/>
        <v>0</v>
      </c>
      <c r="T160" s="280">
        <f t="shared" ref="T160:U160" si="166">T55 * (1 - T$114)</f>
        <v>0</v>
      </c>
      <c r="U160" s="280">
        <f t="shared" si="166"/>
        <v>0</v>
      </c>
      <c r="V160" s="280">
        <f t="shared" ref="V160:W160" si="167">V55 * (1 - V$114)</f>
        <v>0</v>
      </c>
      <c r="W160" s="280">
        <f t="shared" si="167"/>
        <v>0</v>
      </c>
      <c r="X160" s="280">
        <f t="shared" ref="X160:Y160" si="168">X55 * (1 - X$114)</f>
        <v>0</v>
      </c>
      <c r="Y160" s="280">
        <f t="shared" si="168"/>
        <v>0</v>
      </c>
      <c r="Z160" s="266"/>
      <c r="AA160" s="266"/>
    </row>
    <row r="161" spans="4:27" x14ac:dyDescent="0.25">
      <c r="F161" t="s">
        <v>194</v>
      </c>
      <c r="G161" t="s">
        <v>269</v>
      </c>
      <c r="H161" s="266"/>
      <c r="I161" s="266"/>
      <c r="J161" s="280">
        <f t="shared" ref="J161:K161" si="169">J56 * (1 - J$115)</f>
        <v>0.18385733625131542</v>
      </c>
      <c r="K161" s="280">
        <f t="shared" si="169"/>
        <v>0.18385733625131542</v>
      </c>
      <c r="L161" s="280">
        <f t="shared" ref="L161:M161" si="170">L56 * (1 - L$115)</f>
        <v>0.21117849965263474</v>
      </c>
      <c r="M161" s="280">
        <f t="shared" si="170"/>
        <v>0.21117849965263474</v>
      </c>
      <c r="N161" s="280">
        <f t="shared" ref="N161:P161" si="171">N56 * (1 - N$115)</f>
        <v>0.18488439202471788</v>
      </c>
      <c r="O161" s="280">
        <f t="shared" si="171"/>
        <v>0.14738944909553611</v>
      </c>
      <c r="P161" s="280">
        <f t="shared" si="171"/>
        <v>0.11404976439168889</v>
      </c>
      <c r="Q161" s="280">
        <f t="shared" ref="Q161:S161" si="172">Q56 * (1 - Q$115)</f>
        <v>0.15763383888291102</v>
      </c>
      <c r="R161" s="280">
        <f t="shared" si="172"/>
        <v>-0.13576538173416086</v>
      </c>
      <c r="S161" s="280">
        <f t="shared" si="172"/>
        <v>-0.1278079878543408</v>
      </c>
      <c r="T161" s="280">
        <f t="shared" ref="T161:U161" si="173">T56 * (1 - T$115)</f>
        <v>-0.13576538173416086</v>
      </c>
      <c r="U161" s="280">
        <f t="shared" si="173"/>
        <v>-0.13576538173416086</v>
      </c>
      <c r="V161" s="280">
        <f t="shared" ref="V161:W161" si="174">V56 * (1 - V$115)</f>
        <v>-0.1278079878543408</v>
      </c>
      <c r="W161" s="280">
        <f t="shared" si="174"/>
        <v>-0.1278079878543408</v>
      </c>
      <c r="X161" s="280">
        <f t="shared" ref="X161:Y161" si="175">X56 * (1 - X$115)</f>
        <v>-0.12548198041254724</v>
      </c>
      <c r="Y161" s="280">
        <f t="shared" si="175"/>
        <v>-0.12548198041254724</v>
      </c>
      <c r="Z161" s="266"/>
      <c r="AA161" s="266"/>
    </row>
    <row r="162" spans="4:27" x14ac:dyDescent="0.25">
      <c r="F162" t="s">
        <v>195</v>
      </c>
      <c r="G162" t="s">
        <v>269</v>
      </c>
      <c r="H162" s="266"/>
      <c r="I162" s="266"/>
      <c r="J162" s="280">
        <f t="shared" ref="J162:K162" si="176">J57 * (1 - J$116)</f>
        <v>7.5938585922135426E-2</v>
      </c>
      <c r="K162" s="280">
        <f t="shared" si="176"/>
        <v>7.5938585922135426E-2</v>
      </c>
      <c r="L162" s="280">
        <f t="shared" ref="L162:M162" si="177">L57 * (1 - L$116)</f>
        <v>8.7223044604860106E-2</v>
      </c>
      <c r="M162" s="280">
        <f t="shared" si="177"/>
        <v>8.7223044604860106E-2</v>
      </c>
      <c r="N162" s="280">
        <f t="shared" ref="N162:P162" si="178">N57 * (1 - N$116)</f>
        <v>7.6362790714207124E-2</v>
      </c>
      <c r="O162" s="280">
        <f t="shared" si="178"/>
        <v>6.0876256408166574E-2</v>
      </c>
      <c r="P162" s="280">
        <f t="shared" si="178"/>
        <v>0</v>
      </c>
      <c r="Q162" s="280">
        <f t="shared" ref="Q162:S162" si="179">Q57 * (1 - Q$116)</f>
        <v>5.6388760813268907E-2</v>
      </c>
      <c r="R162" s="280">
        <f t="shared" si="179"/>
        <v>-5.6075168477250942E-2</v>
      </c>
      <c r="S162" s="280">
        <f t="shared" si="179"/>
        <v>-5.2788526501577983E-2</v>
      </c>
      <c r="T162" s="280">
        <f t="shared" ref="T162:U162" si="180">T57 * (1 - T$116)</f>
        <v>-5.6075168477250942E-2</v>
      </c>
      <c r="U162" s="280">
        <f t="shared" si="180"/>
        <v>-5.6075168477250942E-2</v>
      </c>
      <c r="V162" s="280">
        <f t="shared" ref="V162:W162" si="181">V57 * (1 - V$116)</f>
        <v>-5.2788526501577983E-2</v>
      </c>
      <c r="W162" s="280">
        <f t="shared" si="181"/>
        <v>-5.2788526501577983E-2</v>
      </c>
      <c r="X162" s="280">
        <f t="shared" ref="X162:Y162" si="182">X57 * (1 - X$116)</f>
        <v>-5.1827815770227423E-2</v>
      </c>
      <c r="Y162" s="280">
        <f t="shared" si="182"/>
        <v>-5.1827815770227423E-2</v>
      </c>
      <c r="Z162" s="266"/>
      <c r="AA162" s="266"/>
    </row>
    <row r="163" spans="4:27" x14ac:dyDescent="0.25">
      <c r="F163" t="s">
        <v>196</v>
      </c>
      <c r="G163" t="s">
        <v>269</v>
      </c>
      <c r="H163" s="266"/>
      <c r="I163" s="266"/>
      <c r="J163" s="280">
        <f t="shared" ref="J163:K163" si="183">J58 * (1 - J$117)</f>
        <v>0</v>
      </c>
      <c r="K163" s="280">
        <f t="shared" si="183"/>
        <v>0</v>
      </c>
      <c r="L163" s="280">
        <f t="shared" ref="L163:M163" si="184">L58 * (1 - L$117)</f>
        <v>0</v>
      </c>
      <c r="M163" s="280">
        <f t="shared" si="184"/>
        <v>0</v>
      </c>
      <c r="N163" s="280">
        <f t="shared" ref="N163:P163" si="185">N58 * (1 - N$117)</f>
        <v>0</v>
      </c>
      <c r="O163" s="280">
        <f t="shared" si="185"/>
        <v>0</v>
      </c>
      <c r="P163" s="280">
        <f t="shared" si="185"/>
        <v>0</v>
      </c>
      <c r="Q163" s="280">
        <f t="shared" ref="Q163:S163" si="186">Q58 * (1 - Q$117)</f>
        <v>0</v>
      </c>
      <c r="R163" s="280">
        <f t="shared" si="186"/>
        <v>0</v>
      </c>
      <c r="S163" s="280">
        <f t="shared" si="186"/>
        <v>0</v>
      </c>
      <c r="T163" s="280">
        <f t="shared" ref="T163:U163" si="187">T58 * (1 - T$117)</f>
        <v>0</v>
      </c>
      <c r="U163" s="280">
        <f t="shared" si="187"/>
        <v>0</v>
      </c>
      <c r="V163" s="280">
        <f t="shared" ref="V163:W163" si="188">V58 * (1 - V$117)</f>
        <v>0</v>
      </c>
      <c r="W163" s="280">
        <f t="shared" si="188"/>
        <v>0</v>
      </c>
      <c r="X163" s="280">
        <f t="shared" ref="X163:Y163" si="189">X58 * (1 - X$117)</f>
        <v>0</v>
      </c>
      <c r="Y163" s="280">
        <f t="shared" si="189"/>
        <v>0</v>
      </c>
      <c r="Z163" s="266"/>
      <c r="AA163" s="266"/>
    </row>
    <row r="164" spans="4:27" x14ac:dyDescent="0.25">
      <c r="F164" t="s">
        <v>197</v>
      </c>
      <c r="G164" t="s">
        <v>269</v>
      </c>
      <c r="H164" s="266"/>
      <c r="I164" s="266"/>
      <c r="J164" s="280">
        <f t="shared" ref="J164:K164" si="190">J59 * (1 - J$118)</f>
        <v>0.3266899240242479</v>
      </c>
      <c r="K164" s="280">
        <f t="shared" si="190"/>
        <v>0.3266899240242479</v>
      </c>
      <c r="L164" s="280">
        <f t="shared" ref="L164:M164" si="191">L59 * (1 - L$118)</f>
        <v>0.37523598140664521</v>
      </c>
      <c r="M164" s="280">
        <f t="shared" si="191"/>
        <v>0.37523598140664521</v>
      </c>
      <c r="N164" s="280">
        <f t="shared" ref="N164:P164" si="192">N59 * (1 - N$118)</f>
        <v>0.2628118919389259</v>
      </c>
      <c r="O164" s="280">
        <f t="shared" si="192"/>
        <v>0</v>
      </c>
      <c r="P164" s="280">
        <f t="shared" si="192"/>
        <v>0</v>
      </c>
      <c r="Q164" s="280">
        <f t="shared" ref="Q164:S164" si="193">Q59 * (1 - Q$118)</f>
        <v>0.2425860287258596</v>
      </c>
      <c r="R164" s="280">
        <f t="shared" si="193"/>
        <v>-0.24123694571115428</v>
      </c>
      <c r="S164" s="280">
        <f t="shared" si="193"/>
        <v>-0.2270977198579307</v>
      </c>
      <c r="T164" s="280">
        <f t="shared" ref="T164:U164" si="194">T59 * (1 - T$118)</f>
        <v>-0.24123694571115428</v>
      </c>
      <c r="U164" s="280">
        <f t="shared" si="194"/>
        <v>-0.24123694571115428</v>
      </c>
      <c r="V164" s="280">
        <f t="shared" ref="V164:W164" si="195">V59 * (1 - V$118)</f>
        <v>-0.2270977198579307</v>
      </c>
      <c r="W164" s="280">
        <f t="shared" si="195"/>
        <v>-0.2270977198579307</v>
      </c>
      <c r="X164" s="280">
        <f t="shared" ref="X164:Y164" si="196">X59 * (1 - X$118)</f>
        <v>0</v>
      </c>
      <c r="Y164" s="280">
        <f t="shared" si="196"/>
        <v>0</v>
      </c>
      <c r="Z164" s="266"/>
      <c r="AA164" s="266"/>
    </row>
    <row r="165" spans="4:27" x14ac:dyDescent="0.25">
      <c r="F165" t="s">
        <v>198</v>
      </c>
      <c r="G165" t="s">
        <v>269</v>
      </c>
      <c r="H165" s="266"/>
      <c r="I165" s="266"/>
      <c r="J165" s="280">
        <f t="shared" ref="J165:K165" si="197">J60 * (1 - J$119)</f>
        <v>8.2106428271479723E-2</v>
      </c>
      <c r="K165" s="280">
        <f t="shared" si="197"/>
        <v>8.2106428271479723E-2</v>
      </c>
      <c r="L165" s="280">
        <f t="shared" ref="L165:M165" si="198">L60 * (1 - L$119)</f>
        <v>9.4307427093944435E-2</v>
      </c>
      <c r="M165" s="280">
        <f t="shared" si="198"/>
        <v>9.4307427093944435E-2</v>
      </c>
      <c r="N165" s="280">
        <f t="shared" ref="N165:P165" si="199">N60 * (1 - N$119)</f>
        <v>0</v>
      </c>
      <c r="O165" s="280">
        <f t="shared" si="199"/>
        <v>0</v>
      </c>
      <c r="P165" s="280">
        <f t="shared" si="199"/>
        <v>0</v>
      </c>
      <c r="Q165" s="280">
        <f t="shared" ref="Q165:S165" si="200">Q60 * (1 - Q$119)</f>
        <v>6.0968737945418079E-2</v>
      </c>
      <c r="R165" s="280">
        <f t="shared" si="200"/>
        <v>-6.062967518396311E-2</v>
      </c>
      <c r="S165" s="280">
        <f t="shared" si="200"/>
        <v>0</v>
      </c>
      <c r="T165" s="280">
        <f t="shared" ref="T165:U165" si="201">T60 * (1 - T$119)</f>
        <v>-6.062967518396311E-2</v>
      </c>
      <c r="U165" s="280">
        <f t="shared" si="201"/>
        <v>-6.062967518396311E-2</v>
      </c>
      <c r="V165" s="280">
        <f t="shared" ref="V165:W165" si="202">V60 * (1 - V$119)</f>
        <v>0</v>
      </c>
      <c r="W165" s="280">
        <f t="shared" si="202"/>
        <v>0</v>
      </c>
      <c r="X165" s="280">
        <f t="shared" ref="X165:Y165" si="203">X60 * (1 - X$119)</f>
        <v>0</v>
      </c>
      <c r="Y165" s="280">
        <f t="shared" si="203"/>
        <v>0</v>
      </c>
      <c r="Z165" s="266"/>
      <c r="AA165" s="266"/>
    </row>
    <row r="166" spans="4:27" x14ac:dyDescent="0.25">
      <c r="F166" t="s">
        <v>199</v>
      </c>
      <c r="G166" t="s">
        <v>269</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0.10255134480852998</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375</v>
      </c>
      <c r="G167" s="90" t="s">
        <v>269</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376</v>
      </c>
      <c r="G168" s="91" t="s">
        <v>269</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620</v>
      </c>
      <c r="J170" s="101"/>
      <c r="K170" s="101"/>
      <c r="L170" s="101"/>
      <c r="M170" s="101"/>
      <c r="N170" s="101"/>
      <c r="O170" s="101"/>
      <c r="P170" s="101"/>
      <c r="Q170" s="101"/>
      <c r="R170" s="101"/>
      <c r="S170" s="101"/>
      <c r="T170" s="101"/>
      <c r="U170" s="101"/>
      <c r="V170" s="101"/>
      <c r="W170" s="101"/>
      <c r="X170" s="101"/>
      <c r="Y170" s="101"/>
    </row>
    <row r="171" spans="4:27" x14ac:dyDescent="0.25">
      <c r="F171" s="90" t="s">
        <v>189</v>
      </c>
      <c r="G171" s="90" t="s">
        <v>269</v>
      </c>
      <c r="H171" s="264"/>
      <c r="I171" s="264"/>
      <c r="J171" s="279">
        <f t="shared" ref="J171:K171" si="211">J66 * (1 - J$112)</f>
        <v>0.11195839017901851</v>
      </c>
      <c r="K171" s="279">
        <f t="shared" si="211"/>
        <v>0.11195839017901851</v>
      </c>
      <c r="L171" s="279">
        <f t="shared" ref="L171:M171" si="212">L66 * (1 - L$112)</f>
        <v>0.12859538457149952</v>
      </c>
      <c r="M171" s="279">
        <f t="shared" si="212"/>
        <v>0.12859538457149952</v>
      </c>
      <c r="N171" s="279">
        <f t="shared" ref="N171:P171" si="213">N66 * (1 - N$112)</f>
        <v>0.11258380721898381</v>
      </c>
      <c r="O171" s="279">
        <f t="shared" si="213"/>
        <v>8.9751574707645415E-2</v>
      </c>
      <c r="P171" s="279">
        <f t="shared" si="213"/>
        <v>8.6812065008763525E-2</v>
      </c>
      <c r="Q171" s="279">
        <f t="shared" ref="Q171:S171" si="214">Q66 * (1 - Q$112)</f>
        <v>9.5989810354620675E-2</v>
      </c>
      <c r="R171" s="279">
        <f t="shared" si="214"/>
        <v>-8.2673195918706893E-2</v>
      </c>
      <c r="S171" s="279">
        <f t="shared" si="214"/>
        <v>-7.7827607339161414E-2</v>
      </c>
      <c r="T171" s="279">
        <f t="shared" ref="T171:U171" si="215">T66 * (1 - T$112)</f>
        <v>-8.2673195918706893E-2</v>
      </c>
      <c r="U171" s="279">
        <f t="shared" si="215"/>
        <v>-8.2673195918706893E-2</v>
      </c>
      <c r="V171" s="279">
        <f t="shared" ref="V171:W171" si="216">V66 * (1 - V$112)</f>
        <v>-7.7827607339161414E-2</v>
      </c>
      <c r="W171" s="279">
        <f t="shared" si="216"/>
        <v>-7.7827607339161414E-2</v>
      </c>
      <c r="X171" s="279">
        <f t="shared" ref="X171:Y171" si="217">X66 * (1 - X$112)</f>
        <v>-7.6411204523601964E-2</v>
      </c>
      <c r="Y171" s="279">
        <f t="shared" si="217"/>
        <v>-7.6411204523601964E-2</v>
      </c>
      <c r="Z171" s="266"/>
      <c r="AA171" s="266"/>
    </row>
    <row r="172" spans="4:27" x14ac:dyDescent="0.25">
      <c r="F172" t="s">
        <v>191</v>
      </c>
      <c r="G172" t="s">
        <v>269</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192</v>
      </c>
      <c r="G173" t="s">
        <v>269</v>
      </c>
      <c r="H173" s="266"/>
      <c r="I173" s="266"/>
      <c r="J173" s="280">
        <f t="shared" ref="J173:K173" si="225">J68 * (1 - J$113)</f>
        <v>0</v>
      </c>
      <c r="K173" s="280">
        <f t="shared" si="225"/>
        <v>0</v>
      </c>
      <c r="L173" s="280">
        <f t="shared" ref="L173:M173" si="226">L68 * (1 - L$113)</f>
        <v>0</v>
      </c>
      <c r="M173" s="280">
        <f t="shared" si="226"/>
        <v>0</v>
      </c>
      <c r="N173" s="280">
        <f t="shared" ref="N173:P173" si="227">N68 * (1 - N$113)</f>
        <v>0</v>
      </c>
      <c r="O173" s="280">
        <f t="shared" si="227"/>
        <v>0</v>
      </c>
      <c r="P173" s="280">
        <f t="shared" si="227"/>
        <v>0</v>
      </c>
      <c r="Q173" s="280">
        <f t="shared" ref="Q173:S173" si="228">Q68 * (1 - Q$113)</f>
        <v>0</v>
      </c>
      <c r="R173" s="280">
        <f t="shared" si="228"/>
        <v>0</v>
      </c>
      <c r="S173" s="280">
        <f t="shared" si="228"/>
        <v>0</v>
      </c>
      <c r="T173" s="280">
        <f t="shared" ref="T173:U173" si="229">T68 * (1 - T$113)</f>
        <v>0</v>
      </c>
      <c r="U173" s="280">
        <f t="shared" si="229"/>
        <v>0</v>
      </c>
      <c r="V173" s="280">
        <f t="shared" ref="V173:W173" si="230">V68 * (1 - V$113)</f>
        <v>0</v>
      </c>
      <c r="W173" s="280">
        <f t="shared" si="230"/>
        <v>0</v>
      </c>
      <c r="X173" s="280">
        <f t="shared" ref="X173:Y173" si="231">X68 * (1 - X$113)</f>
        <v>0</v>
      </c>
      <c r="Y173" s="280">
        <f t="shared" si="231"/>
        <v>0</v>
      </c>
      <c r="Z173" s="266"/>
      <c r="AA173" s="266"/>
    </row>
    <row r="174" spans="4:27" x14ac:dyDescent="0.25">
      <c r="F174" t="s">
        <v>193</v>
      </c>
      <c r="G174" t="s">
        <v>269</v>
      </c>
      <c r="H174" s="266"/>
      <c r="I174" s="266"/>
      <c r="J174" s="280">
        <f t="shared" ref="J174:K174" si="232">J69 * (1 - J$114)</f>
        <v>0</v>
      </c>
      <c r="K174" s="280">
        <f t="shared" si="232"/>
        <v>0</v>
      </c>
      <c r="L174" s="280">
        <f t="shared" ref="L174:M174" si="233">L69 * (1 - L$114)</f>
        <v>0</v>
      </c>
      <c r="M174" s="280">
        <f t="shared" si="233"/>
        <v>0</v>
      </c>
      <c r="N174" s="280">
        <f t="shared" ref="N174:P174" si="234">N69 * (1 - N$114)</f>
        <v>0</v>
      </c>
      <c r="O174" s="280">
        <f t="shared" si="234"/>
        <v>0</v>
      </c>
      <c r="P174" s="280">
        <f t="shared" si="234"/>
        <v>0</v>
      </c>
      <c r="Q174" s="280">
        <f t="shared" ref="Q174:S174" si="235">Q69 * (1 - Q$114)</f>
        <v>0</v>
      </c>
      <c r="R174" s="280">
        <f t="shared" si="235"/>
        <v>0</v>
      </c>
      <c r="S174" s="280">
        <f t="shared" si="235"/>
        <v>0</v>
      </c>
      <c r="T174" s="280">
        <f t="shared" ref="T174:U174" si="236">T69 * (1 - T$114)</f>
        <v>0</v>
      </c>
      <c r="U174" s="280">
        <f t="shared" si="236"/>
        <v>0</v>
      </c>
      <c r="V174" s="280">
        <f t="shared" ref="V174:W174" si="237">V69 * (1 - V$114)</f>
        <v>0</v>
      </c>
      <c r="W174" s="280">
        <f t="shared" si="237"/>
        <v>0</v>
      </c>
      <c r="X174" s="280">
        <f t="shared" ref="X174:Y174" si="238">X69 * (1 - X$114)</f>
        <v>0</v>
      </c>
      <c r="Y174" s="280">
        <f t="shared" si="238"/>
        <v>0</v>
      </c>
      <c r="Z174" s="266"/>
      <c r="AA174" s="266"/>
    </row>
    <row r="175" spans="4:27" x14ac:dyDescent="0.25">
      <c r="F175" t="s">
        <v>194</v>
      </c>
      <c r="G175" t="s">
        <v>269</v>
      </c>
      <c r="H175" s="266"/>
      <c r="I175" s="266"/>
      <c r="J175" s="280">
        <f t="shared" ref="J175:K175" si="239">J70 * (1 - J$115)</f>
        <v>0.13780038644651965</v>
      </c>
      <c r="K175" s="280">
        <f t="shared" si="239"/>
        <v>0.13780038644651965</v>
      </c>
      <c r="L175" s="280">
        <f t="shared" ref="L175:M175" si="240">L70 * (1 - L$115)</f>
        <v>0.15827749631677301</v>
      </c>
      <c r="M175" s="280">
        <f t="shared" si="240"/>
        <v>0.15827749631677301</v>
      </c>
      <c r="N175" s="280">
        <f t="shared" ref="N175:P175" si="241">N70 * (1 - N$115)</f>
        <v>0.13857016091058302</v>
      </c>
      <c r="O175" s="280">
        <f t="shared" si="241"/>
        <v>0.11046784130355417</v>
      </c>
      <c r="P175" s="280">
        <f t="shared" si="241"/>
        <v>8.5479872208236662E-2</v>
      </c>
      <c r="Q175" s="280">
        <f t="shared" ref="Q175:S175" si="242">Q70 * (1 - Q$115)</f>
        <v>0.1181459731659641</v>
      </c>
      <c r="R175" s="280">
        <f t="shared" si="242"/>
        <v>-0.10175564625527836</v>
      </c>
      <c r="S175" s="280">
        <f t="shared" si="242"/>
        <v>-9.5791609279089848E-2</v>
      </c>
      <c r="T175" s="280">
        <f t="shared" ref="T175:U175" si="243">T70 * (1 - T$115)</f>
        <v>-0.10175564625527836</v>
      </c>
      <c r="U175" s="280">
        <f t="shared" si="243"/>
        <v>-0.10175564625527836</v>
      </c>
      <c r="V175" s="280">
        <f t="shared" ref="V175:W175" si="244">V70 * (1 - V$115)</f>
        <v>-9.5791609279089848E-2</v>
      </c>
      <c r="W175" s="280">
        <f t="shared" si="244"/>
        <v>-9.5791609279089848E-2</v>
      </c>
      <c r="X175" s="280">
        <f t="shared" ref="X175:Y175" si="245">X70 * (1 - X$115)</f>
        <v>-9.40482753937424E-2</v>
      </c>
      <c r="Y175" s="280">
        <f t="shared" si="245"/>
        <v>-9.40482753937424E-2</v>
      </c>
      <c r="Z175" s="266"/>
      <c r="AA175" s="266"/>
    </row>
    <row r="176" spans="4:27" x14ac:dyDescent="0.25">
      <c r="F176" t="s">
        <v>195</v>
      </c>
      <c r="G176" t="s">
        <v>269</v>
      </c>
      <c r="H176" s="266"/>
      <c r="I176" s="266"/>
      <c r="J176" s="280">
        <f t="shared" ref="J176:K176" si="246">J71 * (1 - J$116)</f>
        <v>5.6915686366567957E-2</v>
      </c>
      <c r="K176" s="280">
        <f t="shared" si="246"/>
        <v>5.6915686366567957E-2</v>
      </c>
      <c r="L176" s="280">
        <f t="shared" ref="L176:M176" si="247">L71 * (1 - L$116)</f>
        <v>6.5373345979310868E-2</v>
      </c>
      <c r="M176" s="280">
        <f t="shared" si="247"/>
        <v>6.5373345979310868E-2</v>
      </c>
      <c r="N176" s="280">
        <f t="shared" ref="N176:P176" si="248">N71 * (1 - N$116)</f>
        <v>5.7233626272974743E-2</v>
      </c>
      <c r="O176" s="280">
        <f t="shared" si="248"/>
        <v>4.5626526683689779E-2</v>
      </c>
      <c r="P176" s="280">
        <f t="shared" si="248"/>
        <v>0</v>
      </c>
      <c r="Q176" s="280">
        <f t="shared" ref="Q176:S176" si="249">Q71 * (1 - Q$116)</f>
        <v>4.2263165505060013E-2</v>
      </c>
      <c r="R176" s="280">
        <f t="shared" si="249"/>
        <v>-4.2028129221107366E-2</v>
      </c>
      <c r="S176" s="280">
        <f t="shared" si="249"/>
        <v>-3.9564803342503244E-2</v>
      </c>
      <c r="T176" s="280">
        <f t="shared" ref="T176:U176" si="250">T71 * (1 - T$116)</f>
        <v>-4.2028129221107366E-2</v>
      </c>
      <c r="U176" s="280">
        <f t="shared" si="250"/>
        <v>-4.2028129221107366E-2</v>
      </c>
      <c r="V176" s="280">
        <f t="shared" ref="V176:W176" si="251">V71 * (1 - V$116)</f>
        <v>-3.9564803342503244E-2</v>
      </c>
      <c r="W176" s="280">
        <f t="shared" si="251"/>
        <v>-3.9564803342503244E-2</v>
      </c>
      <c r="X176" s="280">
        <f t="shared" ref="X176:Y176" si="252">X71 * (1 - X$116)</f>
        <v>-3.8844754239526644E-2</v>
      </c>
      <c r="Y176" s="280">
        <f t="shared" si="252"/>
        <v>-3.8844754239526644E-2</v>
      </c>
      <c r="Z176" s="266"/>
      <c r="AA176" s="266"/>
    </row>
    <row r="177" spans="3:27" x14ac:dyDescent="0.25">
      <c r="F177" t="s">
        <v>196</v>
      </c>
      <c r="G177" t="s">
        <v>269</v>
      </c>
      <c r="H177" s="266"/>
      <c r="I177" s="266"/>
      <c r="J177" s="280">
        <f t="shared" ref="J177:K177" si="253">J72 * (1 - J$117)</f>
        <v>0</v>
      </c>
      <c r="K177" s="280">
        <f t="shared" si="253"/>
        <v>0</v>
      </c>
      <c r="L177" s="280">
        <f t="shared" ref="L177:M177" si="254">L72 * (1 - L$117)</f>
        <v>0</v>
      </c>
      <c r="M177" s="280">
        <f t="shared" si="254"/>
        <v>0</v>
      </c>
      <c r="N177" s="280">
        <f t="shared" ref="N177:P177" si="255">N72 * (1 - N$117)</f>
        <v>0</v>
      </c>
      <c r="O177" s="280">
        <f t="shared" si="255"/>
        <v>0</v>
      </c>
      <c r="P177" s="280">
        <f t="shared" si="255"/>
        <v>0</v>
      </c>
      <c r="Q177" s="280">
        <f t="shared" ref="Q177:S177" si="256">Q72 * (1 - Q$117)</f>
        <v>0</v>
      </c>
      <c r="R177" s="280">
        <f t="shared" si="256"/>
        <v>0</v>
      </c>
      <c r="S177" s="280">
        <f t="shared" si="256"/>
        <v>0</v>
      </c>
      <c r="T177" s="280">
        <f t="shared" ref="T177:U177" si="257">T72 * (1 - T$117)</f>
        <v>0</v>
      </c>
      <c r="U177" s="280">
        <f t="shared" si="257"/>
        <v>0</v>
      </c>
      <c r="V177" s="280">
        <f t="shared" ref="V177:W177" si="258">V72 * (1 - V$117)</f>
        <v>0</v>
      </c>
      <c r="W177" s="280">
        <f t="shared" si="258"/>
        <v>0</v>
      </c>
      <c r="X177" s="280">
        <f t="shared" ref="X177:Y177" si="259">X72 * (1 - X$117)</f>
        <v>0</v>
      </c>
      <c r="Y177" s="280">
        <f t="shared" si="259"/>
        <v>0</v>
      </c>
      <c r="Z177" s="266"/>
      <c r="AA177" s="266"/>
    </row>
    <row r="178" spans="3:27" x14ac:dyDescent="0.25">
      <c r="F178" t="s">
        <v>197</v>
      </c>
      <c r="G178" t="s">
        <v>269</v>
      </c>
      <c r="H178" s="266"/>
      <c r="I178" s="266"/>
      <c r="J178" s="280">
        <f t="shared" ref="J178:K178" si="260">J73 * (1 - J$118)</f>
        <v>0.24485287721774773</v>
      </c>
      <c r="K178" s="280">
        <f t="shared" si="260"/>
        <v>0.24485287721774773</v>
      </c>
      <c r="L178" s="280">
        <f t="shared" ref="L178:M178" si="261">L73 * (1 - L$118)</f>
        <v>0.28123796580950844</v>
      </c>
      <c r="M178" s="280">
        <f t="shared" si="261"/>
        <v>0.28123796580950844</v>
      </c>
      <c r="N178" s="280">
        <f t="shared" ref="N178:P178" si="262">N73 * (1 - N$118)</f>
        <v>0.1969765308816489</v>
      </c>
      <c r="O178" s="280">
        <f t="shared" si="262"/>
        <v>0</v>
      </c>
      <c r="P178" s="280">
        <f t="shared" si="262"/>
        <v>0</v>
      </c>
      <c r="Q178" s="280">
        <f t="shared" ref="Q178:S178" si="263">Q73 * (1 - Q$118)</f>
        <v>0.18181732198739389</v>
      </c>
      <c r="R178" s="280">
        <f t="shared" si="263"/>
        <v>-0.18080618930938794</v>
      </c>
      <c r="S178" s="280">
        <f t="shared" si="263"/>
        <v>-0.17020889237060507</v>
      </c>
      <c r="T178" s="280">
        <f t="shared" ref="T178:U178" si="264">T73 * (1 - T$118)</f>
        <v>-0.18080618930938794</v>
      </c>
      <c r="U178" s="280">
        <f t="shared" si="264"/>
        <v>-0.18080618930938794</v>
      </c>
      <c r="V178" s="280">
        <f t="shared" ref="V178:W178" si="265">V73 * (1 - V$118)</f>
        <v>-0.17020889237060507</v>
      </c>
      <c r="W178" s="280">
        <f t="shared" si="265"/>
        <v>-0.17020889237060507</v>
      </c>
      <c r="X178" s="280">
        <f t="shared" ref="X178:Y178" si="266">X73 * (1 - X$118)</f>
        <v>0</v>
      </c>
      <c r="Y178" s="280">
        <f t="shared" si="266"/>
        <v>0</v>
      </c>
      <c r="Z178" s="266"/>
      <c r="AA178" s="266"/>
    </row>
    <row r="179" spans="3:27" x14ac:dyDescent="0.25">
      <c r="F179" t="s">
        <v>198</v>
      </c>
      <c r="G179" t="s">
        <v>269</v>
      </c>
      <c r="H179" s="266"/>
      <c r="I179" s="266"/>
      <c r="J179" s="280">
        <f t="shared" ref="J179:K179" si="267">J74 * (1 - J$119)</f>
        <v>6.1538461158209018E-2</v>
      </c>
      <c r="K179" s="280">
        <f t="shared" si="267"/>
        <v>6.1538461158209018E-2</v>
      </c>
      <c r="L179" s="280">
        <f t="shared" ref="L179:M179" si="268">L74 * (1 - L$119)</f>
        <v>7.0683064180581706E-2</v>
      </c>
      <c r="M179" s="280">
        <f t="shared" si="268"/>
        <v>7.0683064180581706E-2</v>
      </c>
      <c r="N179" s="280">
        <f t="shared" ref="N179:P179" si="269">N74 * (1 - N$119)</f>
        <v>0</v>
      </c>
      <c r="O179" s="280">
        <f t="shared" si="269"/>
        <v>0</v>
      </c>
      <c r="P179" s="280">
        <f t="shared" si="269"/>
        <v>0</v>
      </c>
      <c r="Q179" s="280">
        <f t="shared" ref="Q179:S179" si="270">Q74 * (1 - Q$119)</f>
        <v>4.5695841250256809E-2</v>
      </c>
      <c r="R179" s="280">
        <f t="shared" si="270"/>
        <v>-4.5441714977621957E-2</v>
      </c>
      <c r="S179" s="280">
        <f t="shared" si="270"/>
        <v>0</v>
      </c>
      <c r="T179" s="280">
        <f t="shared" ref="T179:U179" si="271">T74 * (1 - T$119)</f>
        <v>-4.5441714977621957E-2</v>
      </c>
      <c r="U179" s="280">
        <f t="shared" si="271"/>
        <v>-4.5441714977621957E-2</v>
      </c>
      <c r="V179" s="280">
        <f t="shared" ref="V179:W179" si="272">V74 * (1 - V$119)</f>
        <v>0</v>
      </c>
      <c r="W179" s="280">
        <f t="shared" si="272"/>
        <v>0</v>
      </c>
      <c r="X179" s="280">
        <f t="shared" ref="X179:Y179" si="273">X74 * (1 - X$119)</f>
        <v>0</v>
      </c>
      <c r="Y179" s="280">
        <f t="shared" si="273"/>
        <v>0</v>
      </c>
      <c r="Z179" s="266"/>
      <c r="AA179" s="266"/>
    </row>
    <row r="180" spans="3:27" x14ac:dyDescent="0.25">
      <c r="F180" t="s">
        <v>199</v>
      </c>
      <c r="G180" t="s">
        <v>269</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7.6861849700188986E-2</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375</v>
      </c>
      <c r="G181" s="90" t="s">
        <v>269</v>
      </c>
      <c r="H181" s="264"/>
      <c r="I181" s="264" t="s">
        <v>154</v>
      </c>
      <c r="J181" s="278"/>
      <c r="K181" s="278"/>
      <c r="L181" s="278"/>
      <c r="M181" s="278"/>
      <c r="N181" s="278"/>
      <c r="O181" s="278"/>
      <c r="P181" s="278"/>
      <c r="Q181" s="281">
        <f>Q76</f>
        <v>0.51919065265771214</v>
      </c>
      <c r="R181" s="278"/>
      <c r="S181" s="278"/>
      <c r="T181" s="278"/>
      <c r="U181" s="278"/>
      <c r="V181" s="278"/>
      <c r="W181" s="278"/>
      <c r="X181" s="278"/>
      <c r="Y181" s="278"/>
      <c r="Z181" s="266"/>
      <c r="AA181" s="266" t="s">
        <v>652</v>
      </c>
    </row>
    <row r="182" spans="3:27" x14ac:dyDescent="0.25">
      <c r="F182" s="91" t="s">
        <v>376</v>
      </c>
      <c r="G182" s="91" t="s">
        <v>269</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154</v>
      </c>
      <c r="J185" s="101"/>
      <c r="K185" s="101"/>
      <c r="L185" s="101"/>
      <c r="M185" s="101"/>
      <c r="N185" s="101"/>
      <c r="O185" s="101"/>
      <c r="P185" s="101"/>
      <c r="Q185" s="101"/>
      <c r="R185" s="101"/>
      <c r="S185" s="101"/>
      <c r="T185" s="101"/>
      <c r="U185" s="101"/>
      <c r="V185" s="101"/>
      <c r="W185" s="101"/>
      <c r="X185" s="101"/>
      <c r="Y185" s="101"/>
      <c r="AA185" t="s">
        <v>654</v>
      </c>
    </row>
    <row r="186" spans="3:27" x14ac:dyDescent="0.25">
      <c r="E186" s="60" t="s">
        <v>619</v>
      </c>
      <c r="J186" s="101"/>
      <c r="K186" s="101"/>
      <c r="L186" s="101"/>
      <c r="M186" s="101"/>
      <c r="N186" s="101"/>
      <c r="O186" s="101"/>
      <c r="P186" s="101"/>
      <c r="Q186" s="101"/>
      <c r="R186" s="101"/>
      <c r="S186" s="101"/>
      <c r="T186" s="101"/>
      <c r="U186" s="101"/>
      <c r="V186" s="101"/>
      <c r="W186" s="101"/>
      <c r="X186" s="101"/>
      <c r="Y186" s="101"/>
    </row>
    <row r="187" spans="3:27" x14ac:dyDescent="0.25">
      <c r="F187" s="90" t="s">
        <v>189</v>
      </c>
      <c r="G187" s="90" t="s">
        <v>269</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191</v>
      </c>
      <c r="G188" t="s">
        <v>269</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192</v>
      </c>
      <c r="G189" t="s">
        <v>269</v>
      </c>
      <c r="H189" s="266"/>
      <c r="I189" s="266"/>
      <c r="J189" s="280">
        <f t="shared" ref="J189:K189" si="295">J84 * (1 - J$113)</f>
        <v>0</v>
      </c>
      <c r="K189" s="280">
        <f t="shared" si="295"/>
        <v>0</v>
      </c>
      <c r="L189" s="280">
        <f t="shared" ref="L189:M189" si="296">L84 * (1 - L$113)</f>
        <v>0</v>
      </c>
      <c r="M189" s="280">
        <f t="shared" si="296"/>
        <v>0</v>
      </c>
      <c r="N189" s="280">
        <f t="shared" ref="N189:P189" si="297">N84 * (1 - N$113)</f>
        <v>0</v>
      </c>
      <c r="O189" s="280">
        <f t="shared" si="297"/>
        <v>0</v>
      </c>
      <c r="P189" s="280">
        <f t="shared" si="297"/>
        <v>0</v>
      </c>
      <c r="Q189" s="280">
        <f t="shared" ref="Q189:S189" si="298">Q84 * (1 - Q$113)</f>
        <v>0</v>
      </c>
      <c r="R189" s="280">
        <f t="shared" si="298"/>
        <v>0</v>
      </c>
      <c r="S189" s="280">
        <f t="shared" si="298"/>
        <v>0</v>
      </c>
      <c r="T189" s="280">
        <f t="shared" ref="T189:U189" si="299">T84 * (1 - T$113)</f>
        <v>0</v>
      </c>
      <c r="U189" s="280">
        <f t="shared" si="299"/>
        <v>0</v>
      </c>
      <c r="V189" s="280">
        <f t="shared" ref="V189:W189" si="300">V84 * (1 - V$113)</f>
        <v>0</v>
      </c>
      <c r="W189" s="280">
        <f t="shared" si="300"/>
        <v>0</v>
      </c>
      <c r="X189" s="280">
        <f t="shared" ref="X189:Y189" si="301">X84 * (1 - X$113)</f>
        <v>0</v>
      </c>
      <c r="Y189" s="280">
        <f t="shared" si="301"/>
        <v>0</v>
      </c>
      <c r="Z189" s="266"/>
      <c r="AA189" s="266"/>
    </row>
    <row r="190" spans="3:27" x14ac:dyDescent="0.25">
      <c r="F190" t="s">
        <v>193</v>
      </c>
      <c r="G190" t="s">
        <v>269</v>
      </c>
      <c r="H190" s="266"/>
      <c r="I190" s="266"/>
      <c r="J190" s="280">
        <f t="shared" ref="J190:K190" si="302">J85 * (1 - J$114)</f>
        <v>0</v>
      </c>
      <c r="K190" s="280">
        <f t="shared" si="302"/>
        <v>0</v>
      </c>
      <c r="L190" s="280">
        <f t="shared" ref="L190:M190" si="303">L85 * (1 - L$114)</f>
        <v>0</v>
      </c>
      <c r="M190" s="280">
        <f t="shared" si="303"/>
        <v>0</v>
      </c>
      <c r="N190" s="280">
        <f t="shared" ref="N190:P190" si="304">N85 * (1 - N$114)</f>
        <v>0</v>
      </c>
      <c r="O190" s="280">
        <f t="shared" si="304"/>
        <v>0</v>
      </c>
      <c r="P190" s="280">
        <f t="shared" si="304"/>
        <v>0</v>
      </c>
      <c r="Q190" s="280">
        <f t="shared" ref="Q190:S190" si="305">Q85 * (1 - Q$114)</f>
        <v>0</v>
      </c>
      <c r="R190" s="280">
        <f t="shared" si="305"/>
        <v>0</v>
      </c>
      <c r="S190" s="280">
        <f t="shared" si="305"/>
        <v>0</v>
      </c>
      <c r="T190" s="280">
        <f t="shared" ref="T190:U190" si="306">T85 * (1 - T$114)</f>
        <v>0</v>
      </c>
      <c r="U190" s="280">
        <f t="shared" si="306"/>
        <v>0</v>
      </c>
      <c r="V190" s="280">
        <f t="shared" ref="V190:W190" si="307">V85 * (1 - V$114)</f>
        <v>0</v>
      </c>
      <c r="W190" s="280">
        <f t="shared" si="307"/>
        <v>0</v>
      </c>
      <c r="X190" s="280">
        <f t="shared" ref="X190:Y190" si="308">X85 * (1 - X$114)</f>
        <v>0</v>
      </c>
      <c r="Y190" s="280">
        <f t="shared" si="308"/>
        <v>0</v>
      </c>
      <c r="Z190" s="266"/>
      <c r="AA190" s="266"/>
    </row>
    <row r="191" spans="3:27" x14ac:dyDescent="0.25">
      <c r="F191" t="s">
        <v>194</v>
      </c>
      <c r="G191" t="s">
        <v>269</v>
      </c>
      <c r="H191" s="266"/>
      <c r="I191" s="266"/>
      <c r="J191" s="280">
        <f t="shared" ref="J191:K191" si="309">J86 * (1 - J$115)</f>
        <v>4.1658488302845518E-3</v>
      </c>
      <c r="K191" s="280">
        <f t="shared" si="309"/>
        <v>4.1658488302845518E-3</v>
      </c>
      <c r="L191" s="280">
        <f t="shared" ref="L191:M191" si="310">L86 * (1 - L$115)</f>
        <v>4.7848931334274177E-3</v>
      </c>
      <c r="M191" s="280">
        <f t="shared" si="310"/>
        <v>4.7848931334274177E-3</v>
      </c>
      <c r="N191" s="280">
        <f t="shared" ref="N191:P191" si="311">N86 * (1 - N$115)</f>
        <v>4.1891199119802923E-3</v>
      </c>
      <c r="O191" s="280">
        <f t="shared" si="311"/>
        <v>3.3395575973734406E-3</v>
      </c>
      <c r="P191" s="280">
        <f t="shared" si="311"/>
        <v>2.5841453339447403E-3</v>
      </c>
      <c r="Q191" s="280">
        <f t="shared" ref="Q191:S191" si="312">Q86 * (1 - Q$115)</f>
        <v>3.3646801124064657E-3</v>
      </c>
      <c r="R191" s="280">
        <f t="shared" si="312"/>
        <v>-3.0761788907748477E-3</v>
      </c>
      <c r="S191" s="280">
        <f t="shared" si="312"/>
        <v>-2.8958798575012996E-3</v>
      </c>
      <c r="T191" s="280">
        <f t="shared" ref="T191:U191" si="313">T86 * (1 - T$115)</f>
        <v>-3.0761788907748477E-3</v>
      </c>
      <c r="U191" s="280">
        <f t="shared" si="313"/>
        <v>-3.0761788907748477E-3</v>
      </c>
      <c r="V191" s="280">
        <f t="shared" ref="V191:W191" si="314">V86 * (1 - V$115)</f>
        <v>-2.8958798575012996E-3</v>
      </c>
      <c r="W191" s="280">
        <f t="shared" si="314"/>
        <v>-2.8958798575012996E-3</v>
      </c>
      <c r="X191" s="280">
        <f t="shared" ref="X191:Y191" si="315">X86 * (1 - X$115)</f>
        <v>-2.8431770631598009E-3</v>
      </c>
      <c r="Y191" s="280">
        <f t="shared" si="315"/>
        <v>-2.8431770631598009E-3</v>
      </c>
      <c r="Z191" s="266"/>
      <c r="AA191" s="266"/>
    </row>
    <row r="192" spans="3:27" x14ac:dyDescent="0.25">
      <c r="F192" t="s">
        <v>195</v>
      </c>
      <c r="G192" t="s">
        <v>269</v>
      </c>
      <c r="H192" s="266"/>
      <c r="I192" s="266"/>
      <c r="J192" s="280">
        <f t="shared" ref="J192:K192" si="316">J87 * (1 - J$116)</f>
        <v>1.4351426093779883E-3</v>
      </c>
      <c r="K192" s="280">
        <f t="shared" si="316"/>
        <v>1.4351426093779883E-3</v>
      </c>
      <c r="L192" s="280">
        <f t="shared" ref="L192:M192" si="317">L87 * (1 - L$116)</f>
        <v>1.6484045141486295E-3</v>
      </c>
      <c r="M192" s="280">
        <f t="shared" si="317"/>
        <v>1.6484045141486295E-3</v>
      </c>
      <c r="N192" s="280">
        <f t="shared" ref="N192:P192" si="318">N87 * (1 - N$116)</f>
        <v>1.4431595399648793E-3</v>
      </c>
      <c r="O192" s="280">
        <f t="shared" si="318"/>
        <v>1.1504837548642474E-3</v>
      </c>
      <c r="P192" s="280">
        <f t="shared" si="318"/>
        <v>0</v>
      </c>
      <c r="Q192" s="280">
        <f t="shared" ref="Q192:S192" si="319">Q87 * (1 - Q$116)</f>
        <v>1.1591385076523296E-3</v>
      </c>
      <c r="R192" s="280">
        <f t="shared" si="319"/>
        <v>-1.0597493044217224E-3</v>
      </c>
      <c r="S192" s="280">
        <f t="shared" si="319"/>
        <v>-9.9763595474867289E-4</v>
      </c>
      <c r="T192" s="280">
        <f t="shared" ref="T192:U192" si="320">T87 * (1 - T$116)</f>
        <v>-1.0597493044217224E-3</v>
      </c>
      <c r="U192" s="280">
        <f t="shared" si="320"/>
        <v>-1.0597493044217224E-3</v>
      </c>
      <c r="V192" s="280">
        <f t="shared" ref="V192:W192" si="321">V87 * (1 - V$116)</f>
        <v>-9.9763595474867289E-4</v>
      </c>
      <c r="W192" s="280">
        <f t="shared" si="321"/>
        <v>-9.9763595474867289E-4</v>
      </c>
      <c r="X192" s="280">
        <f t="shared" ref="X192:Y192" si="322">X87 * (1 - X$116)</f>
        <v>-9.7947974484424304E-4</v>
      </c>
      <c r="Y192" s="280">
        <f t="shared" si="322"/>
        <v>-9.7947974484424304E-4</v>
      </c>
      <c r="Z192" s="266"/>
      <c r="AA192" s="266"/>
    </row>
    <row r="193" spans="4:27" x14ac:dyDescent="0.25">
      <c r="F193" t="s">
        <v>196</v>
      </c>
      <c r="G193" t="s">
        <v>269</v>
      </c>
      <c r="H193" s="266"/>
      <c r="I193" s="266"/>
      <c r="J193" s="280">
        <f t="shared" ref="J193:K193" si="323">J88 * (1 - J$117)</f>
        <v>0</v>
      </c>
      <c r="K193" s="280">
        <f t="shared" si="323"/>
        <v>0</v>
      </c>
      <c r="L193" s="280">
        <f t="shared" ref="L193:M193" si="324">L88 * (1 - L$117)</f>
        <v>0</v>
      </c>
      <c r="M193" s="280">
        <f t="shared" si="324"/>
        <v>0</v>
      </c>
      <c r="N193" s="280">
        <f t="shared" ref="N193:P193" si="325">N88 * (1 - N$117)</f>
        <v>0</v>
      </c>
      <c r="O193" s="280">
        <f t="shared" si="325"/>
        <v>0</v>
      </c>
      <c r="P193" s="280">
        <f t="shared" si="325"/>
        <v>0</v>
      </c>
      <c r="Q193" s="280">
        <f t="shared" ref="Q193:S193" si="326">Q88 * (1 - Q$117)</f>
        <v>0</v>
      </c>
      <c r="R193" s="280">
        <f t="shared" si="326"/>
        <v>0</v>
      </c>
      <c r="S193" s="280">
        <f t="shared" si="326"/>
        <v>0</v>
      </c>
      <c r="T193" s="280">
        <f t="shared" ref="T193:U193" si="327">T88 * (1 - T$117)</f>
        <v>0</v>
      </c>
      <c r="U193" s="280">
        <f t="shared" si="327"/>
        <v>0</v>
      </c>
      <c r="V193" s="280">
        <f t="shared" ref="V193:W193" si="328">V88 * (1 - V$117)</f>
        <v>0</v>
      </c>
      <c r="W193" s="280">
        <f t="shared" si="328"/>
        <v>0</v>
      </c>
      <c r="X193" s="280">
        <f t="shared" ref="X193:Y193" si="329">X88 * (1 - X$117)</f>
        <v>0</v>
      </c>
      <c r="Y193" s="280">
        <f t="shared" si="329"/>
        <v>0</v>
      </c>
      <c r="Z193" s="266"/>
      <c r="AA193" s="266"/>
    </row>
    <row r="194" spans="4:27" x14ac:dyDescent="0.25">
      <c r="F194" t="s">
        <v>197</v>
      </c>
      <c r="G194" t="s">
        <v>269</v>
      </c>
      <c r="H194" s="266"/>
      <c r="I194" s="266"/>
      <c r="J194" s="280">
        <f t="shared" ref="J194:K194" si="330">J89 * (1 - J$118)</f>
        <v>6.1740237104545709E-3</v>
      </c>
      <c r="K194" s="280">
        <f t="shared" si="330"/>
        <v>6.1740237104545709E-3</v>
      </c>
      <c r="L194" s="280">
        <f t="shared" ref="L194:M194" si="331">L89 * (1 - L$118)</f>
        <v>7.091482399219526E-3</v>
      </c>
      <c r="M194" s="280">
        <f t="shared" si="331"/>
        <v>7.091482399219526E-3</v>
      </c>
      <c r="N194" s="280">
        <f t="shared" ref="N194:P194" si="332">N89 * (1 - N$118)</f>
        <v>4.9668102163442258E-3</v>
      </c>
      <c r="O194" s="280">
        <f t="shared" si="332"/>
        <v>0</v>
      </c>
      <c r="P194" s="280">
        <f t="shared" si="332"/>
        <v>0</v>
      </c>
      <c r="Q194" s="280">
        <f t="shared" ref="Q194:S194" si="333">Q89 * (1 - Q$118)</f>
        <v>4.9866463326931404E-3</v>
      </c>
      <c r="R194" s="280">
        <f t="shared" si="333"/>
        <v>-4.5590711960487671E-3</v>
      </c>
      <c r="S194" s="280">
        <f t="shared" si="333"/>
        <v>-4.2918578256762076E-3</v>
      </c>
      <c r="T194" s="280">
        <f t="shared" ref="T194:U194" si="334">T89 * (1 - T$118)</f>
        <v>-4.5590711960487671E-3</v>
      </c>
      <c r="U194" s="280">
        <f t="shared" si="334"/>
        <v>-4.5590711960487671E-3</v>
      </c>
      <c r="V194" s="280">
        <f t="shared" ref="V194:W194" si="335">V89 * (1 - V$118)</f>
        <v>-4.2918578256762076E-3</v>
      </c>
      <c r="W194" s="280">
        <f t="shared" si="335"/>
        <v>-4.2918578256762076E-3</v>
      </c>
      <c r="X194" s="280">
        <f t="shared" ref="X194:Y194" si="336">X89 * (1 - X$118)</f>
        <v>0</v>
      </c>
      <c r="Y194" s="280">
        <f t="shared" si="336"/>
        <v>0</v>
      </c>
      <c r="Z194" s="266"/>
      <c r="AA194" s="266"/>
    </row>
    <row r="195" spans="4:27" x14ac:dyDescent="0.25">
      <c r="F195" t="s">
        <v>198</v>
      </c>
      <c r="G195" t="s">
        <v>269</v>
      </c>
      <c r="H195" s="266"/>
      <c r="I195" s="266"/>
      <c r="J195" s="280">
        <f t="shared" ref="J195:K195" si="337">J90 * (1 - J$119)</f>
        <v>1.5517069785452816E-3</v>
      </c>
      <c r="K195" s="280">
        <f t="shared" si="337"/>
        <v>1.5517069785452816E-3</v>
      </c>
      <c r="L195" s="280">
        <f t="shared" ref="L195:M195" si="338">L90 * (1 - L$119)</f>
        <v>1.7822903252650119E-3</v>
      </c>
      <c r="M195" s="280">
        <f t="shared" si="338"/>
        <v>1.7822903252650119E-3</v>
      </c>
      <c r="N195" s="280">
        <f t="shared" ref="N195:P195" si="339">N90 * (1 - N$119)</f>
        <v>0</v>
      </c>
      <c r="O195" s="280">
        <f t="shared" si="339"/>
        <v>0</v>
      </c>
      <c r="P195" s="280">
        <f t="shared" si="339"/>
        <v>0</v>
      </c>
      <c r="Q195" s="280">
        <f t="shared" ref="Q195:S195" si="340">Q90 * (1 - Q$119)</f>
        <v>1.2532854224182233E-3</v>
      </c>
      <c r="R195" s="280">
        <f t="shared" si="340"/>
        <v>-1.1458236836075896E-3</v>
      </c>
      <c r="S195" s="280">
        <f t="shared" si="340"/>
        <v>0</v>
      </c>
      <c r="T195" s="280">
        <f t="shared" ref="T195:U195" si="341">T90 * (1 - T$119)</f>
        <v>-1.1458236836075896E-3</v>
      </c>
      <c r="U195" s="280">
        <f t="shared" si="341"/>
        <v>-1.1458236836075896E-3</v>
      </c>
      <c r="V195" s="280">
        <f t="shared" ref="V195:W195" si="342">V90 * (1 - V$119)</f>
        <v>0</v>
      </c>
      <c r="W195" s="280">
        <f t="shared" si="342"/>
        <v>0</v>
      </c>
      <c r="X195" s="280">
        <f t="shared" ref="X195:Y195" si="343">X90 * (1 - X$119)</f>
        <v>0</v>
      </c>
      <c r="Y195" s="280">
        <f t="shared" si="343"/>
        <v>0</v>
      </c>
      <c r="Z195" s="266"/>
      <c r="AA195" s="266"/>
    </row>
    <row r="196" spans="4:27" x14ac:dyDescent="0.25">
      <c r="F196" t="s">
        <v>199</v>
      </c>
      <c r="G196" t="s">
        <v>269</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2.1080657043118988E-3</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375</v>
      </c>
      <c r="G197" s="90" t="s">
        <v>269</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376</v>
      </c>
      <c r="G198" s="91" t="s">
        <v>269</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620</v>
      </c>
      <c r="J200" s="101"/>
      <c r="K200" s="101"/>
      <c r="L200" s="101"/>
      <c r="M200" s="101"/>
      <c r="N200" s="101"/>
      <c r="O200" s="101"/>
      <c r="P200" s="101"/>
      <c r="Q200" s="101"/>
      <c r="R200" s="101"/>
      <c r="S200" s="101"/>
      <c r="T200" s="101"/>
      <c r="U200" s="101"/>
      <c r="V200" s="101"/>
      <c r="W200" s="101"/>
      <c r="X200" s="101"/>
      <c r="Y200" s="101"/>
    </row>
    <row r="201" spans="4:27" x14ac:dyDescent="0.25">
      <c r="F201" s="90" t="s">
        <v>189</v>
      </c>
      <c r="G201" s="90" t="s">
        <v>269</v>
      </c>
      <c r="H201" s="264"/>
      <c r="I201" s="264"/>
      <c r="J201" s="279">
        <f t="shared" ref="J201:K201" si="351">J96 * (1 - J$112)</f>
        <v>2.5367588711841175E-3</v>
      </c>
      <c r="K201" s="279">
        <f t="shared" si="351"/>
        <v>2.5367588711841175E-3</v>
      </c>
      <c r="L201" s="279">
        <f t="shared" ref="L201:M201" si="352">L96 * (1 - L$112)</f>
        <v>2.9137207321708958E-3</v>
      </c>
      <c r="M201" s="279">
        <f t="shared" si="352"/>
        <v>2.9137207321708958E-3</v>
      </c>
      <c r="N201" s="279">
        <f t="shared" ref="N201:P201" si="353">N96 * (1 - N$112)</f>
        <v>2.550929602129649E-3</v>
      </c>
      <c r="O201" s="279">
        <f t="shared" si="353"/>
        <v>2.0335957222885428E-3</v>
      </c>
      <c r="P201" s="279">
        <f t="shared" si="353"/>
        <v>1.9669921627549778E-3</v>
      </c>
      <c r="Q201" s="279">
        <f t="shared" ref="Q201:S201" si="354">Q96 * (1 - Q$112)</f>
        <v>2.0488938681101541E-3</v>
      </c>
      <c r="R201" s="279">
        <f t="shared" si="354"/>
        <v>-1.8732134574334491E-3</v>
      </c>
      <c r="S201" s="279">
        <f t="shared" si="354"/>
        <v>-1.763421866150154E-3</v>
      </c>
      <c r="T201" s="279">
        <f t="shared" ref="T201:U201" si="355">T96 * (1 - T$112)</f>
        <v>-1.8732134574334491E-3</v>
      </c>
      <c r="U201" s="279">
        <f t="shared" si="355"/>
        <v>-1.8732134574334491E-3</v>
      </c>
      <c r="V201" s="279">
        <f t="shared" ref="V201:W201" si="356">V96 * (1 - V$112)</f>
        <v>-1.763421866150154E-3</v>
      </c>
      <c r="W201" s="279">
        <f t="shared" si="356"/>
        <v>-1.763421866150154E-3</v>
      </c>
      <c r="X201" s="279">
        <f t="shared" ref="X201:Y201" si="357">X96 * (1 - X$112)</f>
        <v>-1.7313289394673445E-3</v>
      </c>
      <c r="Y201" s="279">
        <f t="shared" si="357"/>
        <v>-1.7313289394673445E-3</v>
      </c>
      <c r="Z201" s="266"/>
      <c r="AA201" s="266"/>
    </row>
    <row r="202" spans="4:27" x14ac:dyDescent="0.25">
      <c r="F202" t="s">
        <v>191</v>
      </c>
      <c r="G202" t="s">
        <v>269</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192</v>
      </c>
      <c r="G203" t="s">
        <v>269</v>
      </c>
      <c r="H203" s="266"/>
      <c r="I203" s="266"/>
      <c r="J203" s="280">
        <f t="shared" ref="J203:K203" si="365">J98 * (1 - J$113)</f>
        <v>0</v>
      </c>
      <c r="K203" s="280">
        <f t="shared" si="365"/>
        <v>0</v>
      </c>
      <c r="L203" s="280">
        <f t="shared" ref="L203:M203" si="366">L98 * (1 - L$113)</f>
        <v>0</v>
      </c>
      <c r="M203" s="280">
        <f t="shared" si="366"/>
        <v>0</v>
      </c>
      <c r="N203" s="280">
        <f t="shared" ref="N203:P203" si="367">N98 * (1 - N$113)</f>
        <v>0</v>
      </c>
      <c r="O203" s="280">
        <f t="shared" si="367"/>
        <v>0</v>
      </c>
      <c r="P203" s="280">
        <f t="shared" si="367"/>
        <v>0</v>
      </c>
      <c r="Q203" s="280">
        <f t="shared" ref="Q203:S203" si="368">Q98 * (1 - Q$113)</f>
        <v>0</v>
      </c>
      <c r="R203" s="280">
        <f t="shared" si="368"/>
        <v>0</v>
      </c>
      <c r="S203" s="280">
        <f t="shared" si="368"/>
        <v>0</v>
      </c>
      <c r="T203" s="280">
        <f t="shared" ref="T203:U203" si="369">T98 * (1 - T$113)</f>
        <v>0</v>
      </c>
      <c r="U203" s="280">
        <f t="shared" si="369"/>
        <v>0</v>
      </c>
      <c r="V203" s="280">
        <f t="shared" ref="V203:W203" si="370">V98 * (1 - V$113)</f>
        <v>0</v>
      </c>
      <c r="W203" s="280">
        <f t="shared" si="370"/>
        <v>0</v>
      </c>
      <c r="X203" s="280">
        <f t="shared" ref="X203:Y203" si="371">X98 * (1 - X$113)</f>
        <v>0</v>
      </c>
      <c r="Y203" s="280">
        <f t="shared" si="371"/>
        <v>0</v>
      </c>
      <c r="Z203" s="266"/>
      <c r="AA203" s="266"/>
    </row>
    <row r="204" spans="4:27" x14ac:dyDescent="0.25">
      <c r="F204" t="s">
        <v>193</v>
      </c>
      <c r="G204" t="s">
        <v>269</v>
      </c>
      <c r="H204" s="266"/>
      <c r="I204" s="266"/>
      <c r="J204" s="280">
        <f t="shared" ref="J204:K204" si="372">J99 * (1 - J$114)</f>
        <v>0</v>
      </c>
      <c r="K204" s="280">
        <f t="shared" si="372"/>
        <v>0</v>
      </c>
      <c r="L204" s="280">
        <f t="shared" ref="L204:M204" si="373">L99 * (1 - L$114)</f>
        <v>0</v>
      </c>
      <c r="M204" s="280">
        <f t="shared" si="373"/>
        <v>0</v>
      </c>
      <c r="N204" s="280">
        <f t="shared" ref="N204:P204" si="374">N99 * (1 - N$114)</f>
        <v>0</v>
      </c>
      <c r="O204" s="280">
        <f t="shared" si="374"/>
        <v>0</v>
      </c>
      <c r="P204" s="280">
        <f t="shared" si="374"/>
        <v>0</v>
      </c>
      <c r="Q204" s="280">
        <f t="shared" ref="Q204:S204" si="375">Q99 * (1 - Q$114)</f>
        <v>0</v>
      </c>
      <c r="R204" s="280">
        <f t="shared" si="375"/>
        <v>0</v>
      </c>
      <c r="S204" s="280">
        <f t="shared" si="375"/>
        <v>0</v>
      </c>
      <c r="T204" s="280">
        <f t="shared" ref="T204:U204" si="376">T99 * (1 - T$114)</f>
        <v>0</v>
      </c>
      <c r="U204" s="280">
        <f t="shared" si="376"/>
        <v>0</v>
      </c>
      <c r="V204" s="280">
        <f t="shared" ref="V204:W204" si="377">V99 * (1 - V$114)</f>
        <v>0</v>
      </c>
      <c r="W204" s="280">
        <f t="shared" si="377"/>
        <v>0</v>
      </c>
      <c r="X204" s="280">
        <f t="shared" ref="X204:Y204" si="378">X99 * (1 - X$114)</f>
        <v>0</v>
      </c>
      <c r="Y204" s="280">
        <f t="shared" si="378"/>
        <v>0</v>
      </c>
      <c r="Z204" s="266"/>
      <c r="AA204" s="266"/>
    </row>
    <row r="205" spans="4:27" x14ac:dyDescent="0.25">
      <c r="F205" t="s">
        <v>194</v>
      </c>
      <c r="G205" t="s">
        <v>269</v>
      </c>
      <c r="H205" s="266"/>
      <c r="I205" s="266"/>
      <c r="J205" s="280">
        <f t="shared" ref="J205:K205" si="379">J100 * (1 - J$115)</f>
        <v>3.1222881305444012E-3</v>
      </c>
      <c r="K205" s="280">
        <f t="shared" si="379"/>
        <v>3.1222881305444012E-3</v>
      </c>
      <c r="L205" s="280">
        <f t="shared" ref="L205:M205" si="380">L100 * (1 - L$115)</f>
        <v>3.5862595223848672E-3</v>
      </c>
      <c r="M205" s="280">
        <f t="shared" si="380"/>
        <v>3.5862595223848672E-3</v>
      </c>
      <c r="N205" s="280">
        <f t="shared" ref="N205:P205" si="381">N100 * (1 - N$115)</f>
        <v>3.1397297193114554E-3</v>
      </c>
      <c r="O205" s="280">
        <f t="shared" si="381"/>
        <v>2.5029859393232573E-3</v>
      </c>
      <c r="P205" s="280">
        <f t="shared" si="381"/>
        <v>1.9368072708548661E-3</v>
      </c>
      <c r="Q205" s="280">
        <f t="shared" ref="Q205:S205" si="382">Q100 * (1 - Q$115)</f>
        <v>2.5218151704578104E-3</v>
      </c>
      <c r="R205" s="280">
        <f t="shared" si="382"/>
        <v>-2.3055845829723712E-3</v>
      </c>
      <c r="S205" s="280">
        <f t="shared" si="382"/>
        <v>-2.1704511313103297E-3</v>
      </c>
      <c r="T205" s="280">
        <f t="shared" ref="T205:U205" si="383">T100 * (1 - T$115)</f>
        <v>-2.3055845829723712E-3</v>
      </c>
      <c r="U205" s="280">
        <f t="shared" si="383"/>
        <v>-2.3055845829723712E-3</v>
      </c>
      <c r="V205" s="280">
        <f t="shared" ref="V205:W205" si="384">V100 * (1 - V$115)</f>
        <v>-2.1704511313103297E-3</v>
      </c>
      <c r="W205" s="280">
        <f t="shared" si="384"/>
        <v>-2.1704511313103297E-3</v>
      </c>
      <c r="X205" s="280">
        <f t="shared" ref="X205:Y205" si="385">X100 * (1 - X$115)</f>
        <v>-2.1309505839014246E-3</v>
      </c>
      <c r="Y205" s="280">
        <f t="shared" si="385"/>
        <v>-2.1309505839014246E-3</v>
      </c>
      <c r="Z205" s="266"/>
      <c r="AA205" s="266"/>
    </row>
    <row r="206" spans="4:27" x14ac:dyDescent="0.25">
      <c r="F206" t="s">
        <v>195</v>
      </c>
      <c r="G206" t="s">
        <v>269</v>
      </c>
      <c r="H206" s="266"/>
      <c r="I206" s="266"/>
      <c r="J206" s="280">
        <f t="shared" ref="J206:K206" si="386">J101 * (1 - J$116)</f>
        <v>1.075634022608866E-3</v>
      </c>
      <c r="K206" s="280">
        <f t="shared" si="386"/>
        <v>1.075634022608866E-3</v>
      </c>
      <c r="L206" s="280">
        <f t="shared" ref="L206:M206" si="387">L101 * (1 - L$116)</f>
        <v>1.2354730232759113E-3</v>
      </c>
      <c r="M206" s="280">
        <f t="shared" si="387"/>
        <v>1.2354730232759113E-3</v>
      </c>
      <c r="N206" s="280">
        <f t="shared" ref="N206:P206" si="388">N101 * (1 - N$116)</f>
        <v>1.0816426821245158E-3</v>
      </c>
      <c r="O206" s="280">
        <f t="shared" si="388"/>
        <v>8.6228327491937073E-4</v>
      </c>
      <c r="P206" s="280">
        <f t="shared" si="388"/>
        <v>0</v>
      </c>
      <c r="Q206" s="280">
        <f t="shared" ref="Q206:S206" si="389">Q101 * (1 - Q$116)</f>
        <v>8.6876997979127505E-4</v>
      </c>
      <c r="R206" s="280">
        <f t="shared" si="389"/>
        <v>-7.9427814338683402E-4</v>
      </c>
      <c r="S206" s="280">
        <f t="shared" si="389"/>
        <v>-7.4772441992412516E-4</v>
      </c>
      <c r="T206" s="280">
        <f t="shared" ref="T206:U206" si="390">T101 * (1 - T$116)</f>
        <v>-7.9427814338683402E-4</v>
      </c>
      <c r="U206" s="280">
        <f t="shared" si="390"/>
        <v>-7.9427814338683402E-4</v>
      </c>
      <c r="V206" s="280">
        <f t="shared" ref="V206:W206" si="391">V101 * (1 - V$116)</f>
        <v>-7.4772441992412516E-4</v>
      </c>
      <c r="W206" s="280">
        <f t="shared" si="391"/>
        <v>-7.4772441992412516E-4</v>
      </c>
      <c r="X206" s="280">
        <f t="shared" ref="X206:Y206" si="392">X101 * (1 - X$116)</f>
        <v>-7.3411640845041015E-4</v>
      </c>
      <c r="Y206" s="280">
        <f t="shared" si="392"/>
        <v>-7.3411640845041015E-4</v>
      </c>
      <c r="Z206" s="266"/>
      <c r="AA206" s="266"/>
    </row>
    <row r="207" spans="4:27" x14ac:dyDescent="0.25">
      <c r="F207" t="s">
        <v>196</v>
      </c>
      <c r="G207" t="s">
        <v>269</v>
      </c>
      <c r="H207" s="266"/>
      <c r="I207" s="266"/>
      <c r="J207" s="280">
        <f t="shared" ref="J207:K207" si="393">J102 * (1 - J$117)</f>
        <v>0</v>
      </c>
      <c r="K207" s="280">
        <f t="shared" si="393"/>
        <v>0</v>
      </c>
      <c r="L207" s="280">
        <f t="shared" ref="L207:M207" si="394">L102 * (1 - L$117)</f>
        <v>0</v>
      </c>
      <c r="M207" s="280">
        <f t="shared" si="394"/>
        <v>0</v>
      </c>
      <c r="N207" s="280">
        <f t="shared" ref="N207:P207" si="395">N102 * (1 - N$117)</f>
        <v>0</v>
      </c>
      <c r="O207" s="280">
        <f t="shared" si="395"/>
        <v>0</v>
      </c>
      <c r="P207" s="280">
        <f t="shared" si="395"/>
        <v>0</v>
      </c>
      <c r="Q207" s="280">
        <f t="shared" ref="Q207:S207" si="396">Q102 * (1 - Q$117)</f>
        <v>0</v>
      </c>
      <c r="R207" s="280">
        <f t="shared" si="396"/>
        <v>0</v>
      </c>
      <c r="S207" s="280">
        <f t="shared" si="396"/>
        <v>0</v>
      </c>
      <c r="T207" s="280">
        <f t="shared" ref="T207:U207" si="397">T102 * (1 - T$117)</f>
        <v>0</v>
      </c>
      <c r="U207" s="280">
        <f t="shared" si="397"/>
        <v>0</v>
      </c>
      <c r="V207" s="280">
        <f t="shared" ref="V207:W207" si="398">V102 * (1 - V$117)</f>
        <v>0</v>
      </c>
      <c r="W207" s="280">
        <f t="shared" si="398"/>
        <v>0</v>
      </c>
      <c r="X207" s="280">
        <f t="shared" ref="X207:Y207" si="399">X102 * (1 - X$117)</f>
        <v>0</v>
      </c>
      <c r="Y207" s="280">
        <f t="shared" si="399"/>
        <v>0</v>
      </c>
      <c r="Z207" s="266"/>
      <c r="AA207" s="266"/>
    </row>
    <row r="208" spans="4:27" x14ac:dyDescent="0.25">
      <c r="F208" t="s">
        <v>197</v>
      </c>
      <c r="G208" t="s">
        <v>269</v>
      </c>
      <c r="H208" s="266"/>
      <c r="I208" s="266"/>
      <c r="J208" s="280">
        <f t="shared" ref="J208:K208" si="400">J103 * (1 - J$118)</f>
        <v>4.6274076986934911E-3</v>
      </c>
      <c r="K208" s="280">
        <f t="shared" si="400"/>
        <v>4.6274076986934911E-3</v>
      </c>
      <c r="L208" s="280">
        <f t="shared" ref="L208:M208" si="401">L103 * (1 - L$118)</f>
        <v>5.3150395573848151E-3</v>
      </c>
      <c r="M208" s="280">
        <f t="shared" si="401"/>
        <v>5.3150395573848151E-3</v>
      </c>
      <c r="N208" s="280">
        <f t="shared" ref="N208:P208" si="402">N103 * (1 - N$118)</f>
        <v>3.7226056962078886E-3</v>
      </c>
      <c r="O208" s="280">
        <f t="shared" si="402"/>
        <v>0</v>
      </c>
      <c r="P208" s="280">
        <f t="shared" si="402"/>
        <v>0</v>
      </c>
      <c r="Q208" s="280">
        <f t="shared" ref="Q208:S208" si="403">Q103 * (1 - Q$118)</f>
        <v>3.7374727912839441E-3</v>
      </c>
      <c r="R208" s="280">
        <f t="shared" si="403"/>
        <v>-3.4170068242148901E-3</v>
      </c>
      <c r="S208" s="280">
        <f t="shared" si="403"/>
        <v>-3.2167314016955323E-3</v>
      </c>
      <c r="T208" s="280">
        <f t="shared" ref="T208:U208" si="404">T103 * (1 - T$118)</f>
        <v>-3.4170068242148901E-3</v>
      </c>
      <c r="U208" s="280">
        <f t="shared" si="404"/>
        <v>-3.4170068242148901E-3</v>
      </c>
      <c r="V208" s="280">
        <f t="shared" ref="V208:W208" si="405">V103 * (1 - V$118)</f>
        <v>-3.2167314016955323E-3</v>
      </c>
      <c r="W208" s="280">
        <f t="shared" si="405"/>
        <v>-3.2167314016955323E-3</v>
      </c>
      <c r="X208" s="280">
        <f t="shared" ref="X208:Y208" si="406">X103 * (1 - X$118)</f>
        <v>0</v>
      </c>
      <c r="Y208" s="280">
        <f t="shared" si="406"/>
        <v>0</v>
      </c>
      <c r="Z208" s="266"/>
      <c r="AA208" s="266"/>
    </row>
    <row r="209" spans="2:27" x14ac:dyDescent="0.25">
      <c r="F209" t="s">
        <v>198</v>
      </c>
      <c r="G209" t="s">
        <v>269</v>
      </c>
      <c r="H209" s="266"/>
      <c r="I209" s="266"/>
      <c r="J209" s="280">
        <f t="shared" ref="J209:K209" si="407">J104 * (1 - J$119)</f>
        <v>1.1629985816993544E-3</v>
      </c>
      <c r="K209" s="280">
        <f t="shared" si="407"/>
        <v>1.1629985816993544E-3</v>
      </c>
      <c r="L209" s="280">
        <f t="shared" ref="L209:M209" si="408">L104 * (1 - L$119)</f>
        <v>1.3358199383771102E-3</v>
      </c>
      <c r="M209" s="280">
        <f t="shared" si="408"/>
        <v>1.3358199383771102E-3</v>
      </c>
      <c r="N209" s="280">
        <f t="shared" ref="N209:P209" si="409">N104 * (1 - N$119)</f>
        <v>0</v>
      </c>
      <c r="O209" s="280">
        <f t="shared" si="409"/>
        <v>0</v>
      </c>
      <c r="P209" s="280">
        <f t="shared" si="409"/>
        <v>0</v>
      </c>
      <c r="Q209" s="280">
        <f t="shared" ref="Q209:S209" si="410">Q104 * (1 - Q$119)</f>
        <v>9.3933274058181687E-4</v>
      </c>
      <c r="R209" s="280">
        <f t="shared" si="410"/>
        <v>-8.5879056892716635E-4</v>
      </c>
      <c r="S209" s="280">
        <f t="shared" si="410"/>
        <v>0</v>
      </c>
      <c r="T209" s="280">
        <f t="shared" ref="T209:U209" si="411">T104 * (1 - T$119)</f>
        <v>-8.5879056892716635E-4</v>
      </c>
      <c r="U209" s="280">
        <f t="shared" si="411"/>
        <v>-8.5879056892716635E-4</v>
      </c>
      <c r="V209" s="280">
        <f t="shared" ref="V209:W209" si="412">V104 * (1 - V$119)</f>
        <v>0</v>
      </c>
      <c r="W209" s="280">
        <f t="shared" si="412"/>
        <v>0</v>
      </c>
      <c r="X209" s="280">
        <f t="shared" ref="X209:Y209" si="413">X104 * (1 - X$119)</f>
        <v>0</v>
      </c>
      <c r="Y209" s="280">
        <f t="shared" si="413"/>
        <v>0</v>
      </c>
      <c r="Z209" s="266"/>
      <c r="AA209" s="266"/>
    </row>
    <row r="210" spans="2:27" x14ac:dyDescent="0.25">
      <c r="F210" t="s">
        <v>199</v>
      </c>
      <c r="G210" t="s">
        <v>269</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1.5799873675519751E-3</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375</v>
      </c>
      <c r="G211" s="90" t="s">
        <v>269</v>
      </c>
      <c r="H211" s="264"/>
      <c r="I211" s="264" t="s">
        <v>154</v>
      </c>
      <c r="J211" s="278"/>
      <c r="K211" s="278"/>
      <c r="L211" s="278"/>
      <c r="M211" s="278"/>
      <c r="N211" s="278"/>
      <c r="O211" s="278"/>
      <c r="P211" s="278"/>
      <c r="Q211" s="281">
        <f>Q106</f>
        <v>0.51919065265771214</v>
      </c>
      <c r="R211" s="278"/>
      <c r="S211" s="278"/>
      <c r="T211" s="278"/>
      <c r="U211" s="278"/>
      <c r="V211" s="278"/>
      <c r="W211" s="278"/>
      <c r="X211" s="278"/>
      <c r="Y211" s="278"/>
      <c r="Z211" s="266"/>
      <c r="AA211" s="266" t="s">
        <v>652</v>
      </c>
    </row>
    <row r="212" spans="2:27" x14ac:dyDescent="0.25">
      <c r="D212"/>
      <c r="F212" s="91" t="s">
        <v>376</v>
      </c>
      <c r="G212" s="91" t="s">
        <v>269</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655</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656</v>
      </c>
      <c r="G217" s="90" t="s">
        <v>269</v>
      </c>
      <c r="H217" s="264"/>
      <c r="I217" s="264"/>
      <c r="J217" s="282">
        <f t="shared" ref="J217:K217" si="421">SUM(J127:J138,J141:J152)</f>
        <v>11.75861140842118</v>
      </c>
      <c r="K217" s="282">
        <f t="shared" si="421"/>
        <v>11.75861140842118</v>
      </c>
      <c r="L217" s="282">
        <f t="shared" ref="L217:M217" si="422">SUM(L127:L138,L141:L152)</f>
        <v>13.505938712363852</v>
      </c>
      <c r="M217" s="282">
        <f t="shared" si="422"/>
        <v>13.505938712363852</v>
      </c>
      <c r="N217" s="282">
        <f t="shared" ref="N217:P217" si="423">SUM(N127:N138,N141:N152)</f>
        <v>10.050096626636556</v>
      </c>
      <c r="O217" s="282">
        <f t="shared" si="423"/>
        <v>5.5048475396839871</v>
      </c>
      <c r="P217" s="282">
        <f t="shared" si="423"/>
        <v>3.934537906520795</v>
      </c>
      <c r="Q217" s="282">
        <f t="shared" ref="Q217:S217" si="424">SUM(Q127:Q138,Q141:Q152)</f>
        <v>31.99688783944076</v>
      </c>
      <c r="R217" s="282">
        <f t="shared" si="424"/>
        <v>-8.6828864111564013</v>
      </c>
      <c r="S217" s="282">
        <f t="shared" si="424"/>
        <v>-7.4909886820067939</v>
      </c>
      <c r="T217" s="282">
        <f t="shared" ref="T217:U217" si="425">SUM(T127:T138,T141:T152)</f>
        <v>-8.6828864111564013</v>
      </c>
      <c r="U217" s="282">
        <f t="shared" si="425"/>
        <v>-8.6828864111564013</v>
      </c>
      <c r="V217" s="282">
        <f t="shared" ref="V217:W217" si="426">SUM(V127:V138,V141:V152)</f>
        <v>-7.4909886820067939</v>
      </c>
      <c r="W217" s="282">
        <f t="shared" si="426"/>
        <v>-7.4909886820067939</v>
      </c>
      <c r="X217" s="282">
        <f t="shared" ref="X217:Y217" si="427">SUM(X127:X138,X141:X152)</f>
        <v>-4.6866256396748103</v>
      </c>
      <c r="Y217" s="282">
        <f t="shared" si="427"/>
        <v>-4.6866256396748103</v>
      </c>
      <c r="Z217" s="266"/>
      <c r="AA217" s="266"/>
    </row>
    <row r="218" spans="2:27" x14ac:dyDescent="0.25">
      <c r="D218"/>
      <c r="F218" t="s">
        <v>657</v>
      </c>
      <c r="G218" t="s">
        <v>269</v>
      </c>
      <c r="H218" s="266"/>
      <c r="I218" s="266"/>
      <c r="J218" s="282">
        <f t="shared" ref="J218:K218" si="428">SUM(J157:J168,J171:J182)</f>
        <v>1.2816580758372413</v>
      </c>
      <c r="K218" s="282">
        <f t="shared" si="428"/>
        <v>1.2816580758372413</v>
      </c>
      <c r="L218" s="282">
        <f t="shared" ref="L218:M218" si="429">SUM(L157:L168,L171:L182)</f>
        <v>1.4721122096157584</v>
      </c>
      <c r="M218" s="282">
        <f t="shared" si="429"/>
        <v>1.4721122096157584</v>
      </c>
      <c r="N218" s="282">
        <f t="shared" ref="N218:P218" si="430">SUM(N157:N168,N171:N182)</f>
        <v>1.0294231999620413</v>
      </c>
      <c r="O218" s="282">
        <f t="shared" si="430"/>
        <v>0.45411164819859201</v>
      </c>
      <c r="P218" s="282">
        <f t="shared" si="430"/>
        <v>0.2863417016086891</v>
      </c>
      <c r="Q218" s="282">
        <f t="shared" ref="Q218:S218" si="431">SUM(Q157:Q168,Q171:Q182)</f>
        <v>1.7000933257971842</v>
      </c>
      <c r="R218" s="282">
        <f t="shared" si="431"/>
        <v>-0.94641204678863167</v>
      </c>
      <c r="S218" s="282">
        <f t="shared" si="431"/>
        <v>-0.79108714654520906</v>
      </c>
      <c r="T218" s="282">
        <f t="shared" ref="T218:U218" si="432">SUM(T157:T168,T171:T182)</f>
        <v>-0.94641204678863167</v>
      </c>
      <c r="U218" s="282">
        <f t="shared" si="432"/>
        <v>-0.94641204678863167</v>
      </c>
      <c r="V218" s="282">
        <f t="shared" ref="V218:W218" si="433">SUM(V157:V168,V171:V182)</f>
        <v>-0.79108714654520906</v>
      </c>
      <c r="W218" s="282">
        <f t="shared" si="433"/>
        <v>-0.79108714654520906</v>
      </c>
      <c r="X218" s="282">
        <f t="shared" ref="X218:Y218" si="434">SUM(X157:X168,X171:X182)</f>
        <v>-0.38661403033964564</v>
      </c>
      <c r="Y218" s="282">
        <f t="shared" si="434"/>
        <v>-0.38661403033964564</v>
      </c>
      <c r="Z218" s="266"/>
      <c r="AA218" s="266"/>
    </row>
    <row r="219" spans="2:27" x14ac:dyDescent="0.25">
      <c r="D219"/>
      <c r="F219" s="91" t="s">
        <v>658</v>
      </c>
      <c r="G219" s="91" t="s">
        <v>269</v>
      </c>
      <c r="H219" s="268"/>
      <c r="I219" s="268"/>
      <c r="J219" s="283">
        <f t="shared" ref="J219:K219" si="435">SUM(J187:J198,J201:J212)</f>
        <v>2.5851809433392624E-2</v>
      </c>
      <c r="K219" s="283">
        <f t="shared" si="435"/>
        <v>2.5851809433392624E-2</v>
      </c>
      <c r="L219" s="283">
        <f t="shared" ref="L219:M219" si="436">SUM(L187:L198,L201:L212)</f>
        <v>2.9693383145654183E-2</v>
      </c>
      <c r="M219" s="283">
        <f t="shared" si="436"/>
        <v>2.9693383145654183E-2</v>
      </c>
      <c r="N219" s="283">
        <f t="shared" ref="N219:P219" si="437">SUM(N187:N198,N201:N212)</f>
        <v>2.109399736806291E-2</v>
      </c>
      <c r="O219" s="283">
        <f t="shared" si="437"/>
        <v>9.8889062887688589E-3</v>
      </c>
      <c r="P219" s="283">
        <f t="shared" si="437"/>
        <v>6.487944767554584E-3</v>
      </c>
      <c r="Q219" s="283">
        <f t="shared" ref="Q219:S219" si="438">SUM(Q187:Q198,Q201:Q212)</f>
        <v>0.54375874065497121</v>
      </c>
      <c r="R219" s="283">
        <f t="shared" si="438"/>
        <v>-1.9089696651787637E-2</v>
      </c>
      <c r="S219" s="283">
        <f t="shared" si="438"/>
        <v>-1.608370245700632E-2</v>
      </c>
      <c r="T219" s="283">
        <f t="shared" ref="T219:U219" si="439">SUM(T187:T198,T201:T212)</f>
        <v>-1.9089696651787637E-2</v>
      </c>
      <c r="U219" s="283">
        <f t="shared" si="439"/>
        <v>-1.9089696651787637E-2</v>
      </c>
      <c r="V219" s="283">
        <f t="shared" ref="V219:W219" si="440">SUM(V187:V198,V201:V212)</f>
        <v>-1.608370245700632E-2</v>
      </c>
      <c r="W219" s="283">
        <f t="shared" si="440"/>
        <v>-1.608370245700632E-2</v>
      </c>
      <c r="X219" s="283">
        <f t="shared" ref="X219:Y219" si="441">SUM(X187:X198,X201:X212)</f>
        <v>-8.4190527398232233E-3</v>
      </c>
      <c r="Y219" s="283">
        <f t="shared" si="441"/>
        <v>-8.4190527398232233E-3</v>
      </c>
      <c r="Z219" s="266"/>
      <c r="AA219" s="266"/>
    </row>
    <row r="221" spans="2:27" x14ac:dyDescent="0.25">
      <c r="B221" s="70" t="s">
        <v>231</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232</v>
      </c>
      <c r="G223" s="6" t="s">
        <v>55</v>
      </c>
      <c r="H223" s="108">
        <f t="array" ref="H223">SUM(IF(ISERROR(H22:Y219), 1))</f>
        <v>0</v>
      </c>
      <c r="AA223" s="3"/>
    </row>
    <row r="225" spans="2:27" x14ac:dyDescent="0.25">
      <c r="B225" s="70" t="s">
        <v>106</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683</v>
      </c>
      <c r="E9"/>
    </row>
    <row r="10" spans="1:27" x14ac:dyDescent="0.25">
      <c r="D10" s="71" t="s">
        <v>684</v>
      </c>
      <c r="E10"/>
    </row>
    <row r="11" spans="1:27" x14ac:dyDescent="0.25">
      <c r="D11" s="71" t="s">
        <v>685</v>
      </c>
      <c r="E11"/>
    </row>
    <row r="12" spans="1:27" x14ac:dyDescent="0.25">
      <c r="D12" s="71" t="s">
        <v>686</v>
      </c>
      <c r="E12"/>
    </row>
    <row r="13" spans="1:27" x14ac:dyDescent="0.25">
      <c r="D13" s="71" t="s">
        <v>687</v>
      </c>
      <c r="E13"/>
    </row>
    <row r="14" spans="1:27" x14ac:dyDescent="0.25">
      <c r="D14" s="71" t="s">
        <v>688</v>
      </c>
      <c r="E14"/>
    </row>
    <row r="15" spans="1:27" x14ac:dyDescent="0.25">
      <c r="D15" s="71" t="s">
        <v>689</v>
      </c>
    </row>
    <row r="17" spans="2:27" x14ac:dyDescent="0.25">
      <c r="B17" s="70" t="s">
        <v>690</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691</v>
      </c>
      <c r="F21" s="2"/>
    </row>
    <row r="22" spans="2:27" x14ac:dyDescent="0.25">
      <c r="D22"/>
      <c r="E22" s="71" t="s">
        <v>692</v>
      </c>
      <c r="F22" s="2"/>
    </row>
    <row r="23" spans="2:27" x14ac:dyDescent="0.25">
      <c r="C23" s="100"/>
      <c r="F23" s="151" t="s">
        <v>189</v>
      </c>
      <c r="G23" s="151" t="s">
        <v>167</v>
      </c>
      <c r="H23" s="285">
        <f>'System peak demand'!H226</f>
        <v>0.1160000000000001</v>
      </c>
    </row>
    <row r="24" spans="2:27" x14ac:dyDescent="0.25">
      <c r="C24" s="100"/>
      <c r="F24" t="s">
        <v>191</v>
      </c>
      <c r="G24" t="s">
        <v>167</v>
      </c>
      <c r="H24" s="150">
        <f>'System peak demand'!H226</f>
        <v>0.1160000000000001</v>
      </c>
    </row>
    <row r="25" spans="2:27" x14ac:dyDescent="0.25">
      <c r="C25" s="100"/>
      <c r="F25" t="s">
        <v>192</v>
      </c>
      <c r="G25" t="s">
        <v>167</v>
      </c>
      <c r="H25" s="150">
        <f>'System peak demand'!H227</f>
        <v>0.1160000000000001</v>
      </c>
    </row>
    <row r="26" spans="2:27" x14ac:dyDescent="0.25">
      <c r="C26" s="100"/>
      <c r="F26" t="s">
        <v>193</v>
      </c>
      <c r="G26" t="s">
        <v>167</v>
      </c>
      <c r="H26" s="150">
        <f>'System peak demand'!H228</f>
        <v>0.1160000000000001</v>
      </c>
    </row>
    <row r="27" spans="2:27" x14ac:dyDescent="0.25">
      <c r="C27" s="100"/>
      <c r="F27" t="s">
        <v>194</v>
      </c>
      <c r="G27" t="s">
        <v>167</v>
      </c>
      <c r="H27" s="150">
        <f>'System peak demand'!H229</f>
        <v>0.26107999999999998</v>
      </c>
    </row>
    <row r="28" spans="2:27" x14ac:dyDescent="0.25">
      <c r="C28" s="100"/>
      <c r="F28" t="s">
        <v>195</v>
      </c>
      <c r="G28" t="s">
        <v>167</v>
      </c>
      <c r="H28" s="150">
        <f>'System peak demand'!H230</f>
        <v>0.26107999999999998</v>
      </c>
    </row>
    <row r="29" spans="2:27" x14ac:dyDescent="0.25">
      <c r="C29" s="100"/>
      <c r="F29" t="s">
        <v>196</v>
      </c>
      <c r="G29" t="s">
        <v>167</v>
      </c>
      <c r="H29" s="150">
        <f>'System peak demand'!H231</f>
        <v>0.1160000000000001</v>
      </c>
    </row>
    <row r="30" spans="2:27" x14ac:dyDescent="0.25">
      <c r="C30" s="100"/>
      <c r="F30" t="s">
        <v>197</v>
      </c>
      <c r="G30" t="s">
        <v>167</v>
      </c>
      <c r="H30" s="150">
        <f>'System peak demand'!H232</f>
        <v>0.57634999999999992</v>
      </c>
    </row>
    <row r="31" spans="2:27" x14ac:dyDescent="0.25">
      <c r="C31" s="100"/>
      <c r="F31" t="s">
        <v>198</v>
      </c>
      <c r="G31" t="s">
        <v>167</v>
      </c>
      <c r="H31" s="150">
        <f>'System peak demand'!H233</f>
        <v>0.57634999999999992</v>
      </c>
    </row>
    <row r="32" spans="2:27" x14ac:dyDescent="0.25">
      <c r="C32" s="100"/>
      <c r="F32" t="s">
        <v>199</v>
      </c>
      <c r="G32" t="s">
        <v>167</v>
      </c>
      <c r="H32" s="150">
        <f>'System peak demand'!H234</f>
        <v>0.7349924943078574</v>
      </c>
    </row>
    <row r="33" spans="3:8" x14ac:dyDescent="0.25">
      <c r="C33" s="100"/>
      <c r="F33" t="s">
        <v>375</v>
      </c>
      <c r="G33" t="s">
        <v>167</v>
      </c>
      <c r="H33" s="95"/>
    </row>
    <row r="34" spans="3:8" x14ac:dyDescent="0.25">
      <c r="C34" s="100"/>
      <c r="F34" s="91" t="s">
        <v>376</v>
      </c>
      <c r="G34" s="91" t="s">
        <v>167</v>
      </c>
      <c r="H34" s="97"/>
    </row>
    <row r="35" spans="3:8" x14ac:dyDescent="0.25">
      <c r="C35" s="100"/>
      <c r="F35" s="2"/>
    </row>
    <row r="36" spans="3:8" x14ac:dyDescent="0.25">
      <c r="E36" s="100" t="s">
        <v>393</v>
      </c>
      <c r="F36" s="2"/>
    </row>
    <row r="37" spans="3:8" x14ac:dyDescent="0.25">
      <c r="C37" s="100"/>
      <c r="F37" s="90" t="s">
        <v>189</v>
      </c>
      <c r="G37" s="93" t="s">
        <v>283</v>
      </c>
      <c r="H37" s="167">
        <f t="array" ref="H37:H46">TRANSPOSE('Load &amp; loss characteristics'!J29:S29)</f>
        <v>1</v>
      </c>
    </row>
    <row r="38" spans="3:8" x14ac:dyDescent="0.25">
      <c r="C38" s="100"/>
      <c r="F38" t="s">
        <v>191</v>
      </c>
      <c r="G38" s="89" t="s">
        <v>283</v>
      </c>
      <c r="H38" s="163">
        <v>1</v>
      </c>
    </row>
    <row r="39" spans="3:8" x14ac:dyDescent="0.25">
      <c r="C39" s="100"/>
      <c r="F39" t="s">
        <v>192</v>
      </c>
      <c r="G39" s="89" t="s">
        <v>283</v>
      </c>
      <c r="H39" s="163">
        <v>1</v>
      </c>
    </row>
    <row r="40" spans="3:8" x14ac:dyDescent="0.25">
      <c r="C40" s="100"/>
      <c r="F40" t="s">
        <v>193</v>
      </c>
      <c r="G40" s="89" t="s">
        <v>283</v>
      </c>
      <c r="H40" s="163">
        <v>1</v>
      </c>
    </row>
    <row r="41" spans="3:8" x14ac:dyDescent="0.25">
      <c r="C41" s="100"/>
      <c r="F41" t="s">
        <v>194</v>
      </c>
      <c r="G41" s="89" t="s">
        <v>283</v>
      </c>
      <c r="H41" s="163">
        <v>1.0029999999999999</v>
      </c>
    </row>
    <row r="42" spans="3:8" x14ac:dyDescent="0.25">
      <c r="C42" s="100"/>
      <c r="F42" t="s">
        <v>195</v>
      </c>
      <c r="G42" s="89" t="s">
        <v>283</v>
      </c>
      <c r="H42" s="163">
        <v>1.0129999999999999</v>
      </c>
    </row>
    <row r="43" spans="3:8" x14ac:dyDescent="0.25">
      <c r="C43" s="100"/>
      <c r="F43" t="s">
        <v>196</v>
      </c>
      <c r="G43" s="89" t="s">
        <v>283</v>
      </c>
      <c r="H43" s="163">
        <v>1.0129999999999999</v>
      </c>
    </row>
    <row r="44" spans="3:8" x14ac:dyDescent="0.25">
      <c r="C44" s="100"/>
      <c r="F44" t="s">
        <v>197</v>
      </c>
      <c r="G44" s="89" t="s">
        <v>283</v>
      </c>
      <c r="H44" s="163">
        <v>1.0249999999999999</v>
      </c>
    </row>
    <row r="45" spans="3:8" x14ac:dyDescent="0.25">
      <c r="C45" s="100"/>
      <c r="F45" t="s">
        <v>198</v>
      </c>
      <c r="G45" s="89" t="s">
        <v>283</v>
      </c>
      <c r="H45" s="163">
        <v>1.044</v>
      </c>
    </row>
    <row r="46" spans="3:8" x14ac:dyDescent="0.25">
      <c r="C46" s="100"/>
      <c r="F46" t="s">
        <v>199</v>
      </c>
      <c r="G46" s="89" t="s">
        <v>283</v>
      </c>
      <c r="H46" s="163">
        <v>1.109</v>
      </c>
    </row>
    <row r="47" spans="3:8" x14ac:dyDescent="0.25">
      <c r="C47" s="100"/>
      <c r="F47" t="s">
        <v>375</v>
      </c>
      <c r="G47" s="89" t="s">
        <v>283</v>
      </c>
      <c r="H47" s="114"/>
    </row>
    <row r="48" spans="3:8" x14ac:dyDescent="0.25">
      <c r="C48" s="100"/>
      <c r="F48" s="91" t="s">
        <v>376</v>
      </c>
      <c r="G48" s="96" t="s">
        <v>283</v>
      </c>
      <c r="H48" s="116"/>
    </row>
    <row r="49" spans="3:8" x14ac:dyDescent="0.25">
      <c r="C49" s="100"/>
      <c r="F49" s="2"/>
      <c r="H49" s="101"/>
    </row>
    <row r="50" spans="3:8" x14ac:dyDescent="0.25">
      <c r="C50" s="100"/>
      <c r="E50" s="100" t="s">
        <v>582</v>
      </c>
      <c r="H50" s="101"/>
    </row>
    <row r="51" spans="3:8" x14ac:dyDescent="0.25">
      <c r="C51" s="100"/>
      <c r="E51" s="71"/>
      <c r="F51" s="90" t="s">
        <v>189</v>
      </c>
      <c r="G51" s="90" t="s">
        <v>583</v>
      </c>
      <c r="H51" s="112"/>
    </row>
    <row r="52" spans="3:8" x14ac:dyDescent="0.25">
      <c r="C52" s="100"/>
      <c r="E52" s="71"/>
      <c r="F52" t="s">
        <v>191</v>
      </c>
      <c r="G52" t="s">
        <v>583</v>
      </c>
      <c r="H52" s="114"/>
    </row>
    <row r="53" spans="3:8" x14ac:dyDescent="0.25">
      <c r="C53" s="100"/>
      <c r="E53" s="71"/>
      <c r="F53" t="s">
        <v>192</v>
      </c>
      <c r="G53" t="s">
        <v>583</v>
      </c>
      <c r="H53" s="163">
        <f t="array" ref="H53:H60">TRANSPOSE('Unit costs'!L114:S114)</f>
        <v>0</v>
      </c>
    </row>
    <row r="54" spans="3:8" x14ac:dyDescent="0.25">
      <c r="C54" s="100"/>
      <c r="E54" s="71"/>
      <c r="F54" t="s">
        <v>193</v>
      </c>
      <c r="G54" t="s">
        <v>583</v>
      </c>
      <c r="H54" s="163">
        <v>0</v>
      </c>
    </row>
    <row r="55" spans="3:8" x14ac:dyDescent="0.25">
      <c r="C55" s="100"/>
      <c r="E55" s="71"/>
      <c r="F55" t="s">
        <v>194</v>
      </c>
      <c r="G55" t="s">
        <v>583</v>
      </c>
      <c r="H55" s="163">
        <v>17.53395778818669</v>
      </c>
    </row>
    <row r="56" spans="3:8" x14ac:dyDescent="0.25">
      <c r="C56" s="100"/>
      <c r="E56" s="71"/>
      <c r="F56" t="s">
        <v>195</v>
      </c>
      <c r="G56" t="s">
        <v>583</v>
      </c>
      <c r="H56" s="163">
        <v>4.5377829813989683</v>
      </c>
    </row>
    <row r="57" spans="3:8" x14ac:dyDescent="0.25">
      <c r="C57" s="100"/>
      <c r="E57" s="71"/>
      <c r="F57" t="s">
        <v>196</v>
      </c>
      <c r="G57" t="s">
        <v>583</v>
      </c>
      <c r="H57" s="163">
        <v>0</v>
      </c>
    </row>
    <row r="58" spans="3:8" x14ac:dyDescent="0.25">
      <c r="C58" s="100"/>
      <c r="E58" s="71"/>
      <c r="F58" t="s">
        <v>197</v>
      </c>
      <c r="G58" t="s">
        <v>583</v>
      </c>
      <c r="H58" s="163">
        <v>19.752923245598893</v>
      </c>
    </row>
    <row r="59" spans="3:8" x14ac:dyDescent="0.25">
      <c r="C59" s="100"/>
      <c r="E59" s="71"/>
      <c r="F59" t="s">
        <v>198</v>
      </c>
      <c r="G59" t="s">
        <v>583</v>
      </c>
      <c r="H59" s="163">
        <v>5.0564932260510931</v>
      </c>
    </row>
    <row r="60" spans="3:8" x14ac:dyDescent="0.25">
      <c r="C60" s="100"/>
      <c r="E60" s="71"/>
      <c r="F60" t="s">
        <v>199</v>
      </c>
      <c r="G60" t="s">
        <v>583</v>
      </c>
      <c r="H60" s="163">
        <v>9.0347186326508098</v>
      </c>
    </row>
    <row r="61" spans="3:8" x14ac:dyDescent="0.25">
      <c r="C61" s="100"/>
      <c r="E61" s="71"/>
      <c r="F61" t="s">
        <v>375</v>
      </c>
      <c r="G61" t="s">
        <v>583</v>
      </c>
      <c r="H61" s="114"/>
    </row>
    <row r="62" spans="3:8" x14ac:dyDescent="0.25">
      <c r="C62" s="100"/>
      <c r="E62" s="71"/>
      <c r="F62" s="91" t="s">
        <v>376</v>
      </c>
      <c r="G62" s="91" t="s">
        <v>583</v>
      </c>
      <c r="H62" s="116"/>
    </row>
    <row r="63" spans="3:8" x14ac:dyDescent="0.25">
      <c r="C63" s="100"/>
      <c r="D63"/>
      <c r="E63" s="71"/>
      <c r="H63" s="101"/>
    </row>
    <row r="64" spans="3:8" x14ac:dyDescent="0.25">
      <c r="C64" s="100"/>
      <c r="E64" s="100" t="s">
        <v>601</v>
      </c>
      <c r="H64" s="101"/>
    </row>
    <row r="65" spans="3:25" x14ac:dyDescent="0.25">
      <c r="C65" s="100"/>
      <c r="F65" s="90" t="s">
        <v>189</v>
      </c>
      <c r="G65" s="90" t="s">
        <v>583</v>
      </c>
      <c r="H65" s="167">
        <f t="array" ref="H65:H74">TRANSPOSE('Unit costs'!J115:S115)</f>
        <v>10.645221567407956</v>
      </c>
    </row>
    <row r="66" spans="3:25" x14ac:dyDescent="0.25">
      <c r="C66" s="100"/>
      <c r="F66" t="s">
        <v>191</v>
      </c>
      <c r="G66" t="s">
        <v>583</v>
      </c>
      <c r="H66" s="163">
        <v>0</v>
      </c>
    </row>
    <row r="67" spans="3:25" x14ac:dyDescent="0.25">
      <c r="C67" s="100"/>
      <c r="F67" t="s">
        <v>192</v>
      </c>
      <c r="G67" t="s">
        <v>583</v>
      </c>
      <c r="H67" s="163">
        <v>0</v>
      </c>
    </row>
    <row r="68" spans="3:25" x14ac:dyDescent="0.25">
      <c r="C68" s="100"/>
      <c r="F68" t="s">
        <v>193</v>
      </c>
      <c r="G68" t="s">
        <v>583</v>
      </c>
      <c r="H68" s="163">
        <v>0</v>
      </c>
    </row>
    <row r="69" spans="3:25" x14ac:dyDescent="0.25">
      <c r="C69" s="100"/>
      <c r="F69" t="s">
        <v>194</v>
      </c>
      <c r="G69" t="s">
        <v>583</v>
      </c>
      <c r="H69" s="163">
        <v>13.141635837943351</v>
      </c>
    </row>
    <row r="70" spans="3:25" x14ac:dyDescent="0.25">
      <c r="C70" s="100"/>
      <c r="F70" t="s">
        <v>195</v>
      </c>
      <c r="G70" t="s">
        <v>583</v>
      </c>
      <c r="H70" s="163">
        <v>3.4010513868888048</v>
      </c>
    </row>
    <row r="71" spans="3:25" x14ac:dyDescent="0.25">
      <c r="C71" s="100"/>
      <c r="F71" t="s">
        <v>196</v>
      </c>
      <c r="G71" t="s">
        <v>583</v>
      </c>
      <c r="H71" s="163">
        <v>0</v>
      </c>
    </row>
    <row r="72" spans="3:25" x14ac:dyDescent="0.25">
      <c r="C72" s="100"/>
      <c r="F72" t="s">
        <v>197</v>
      </c>
      <c r="G72" t="s">
        <v>583</v>
      </c>
      <c r="H72" s="163">
        <v>14.804742156012244</v>
      </c>
    </row>
    <row r="73" spans="3:25" x14ac:dyDescent="0.25">
      <c r="C73" s="100"/>
      <c r="F73" t="s">
        <v>198</v>
      </c>
      <c r="G73" t="s">
        <v>583</v>
      </c>
      <c r="H73" s="163">
        <v>3.7898227768382782</v>
      </c>
    </row>
    <row r="74" spans="3:25" x14ac:dyDescent="0.25">
      <c r="C74" s="100"/>
      <c r="F74" t="s">
        <v>199</v>
      </c>
      <c r="G74" t="s">
        <v>583</v>
      </c>
      <c r="H74" s="163">
        <v>6.7714878524785842</v>
      </c>
    </row>
    <row r="75" spans="3:25" x14ac:dyDescent="0.25">
      <c r="C75" s="100"/>
      <c r="F75" t="s">
        <v>375</v>
      </c>
      <c r="G75" t="s">
        <v>583</v>
      </c>
      <c r="H75" s="114"/>
    </row>
    <row r="76" spans="3:25" x14ac:dyDescent="0.25">
      <c r="C76" s="100"/>
      <c r="F76" s="91" t="s">
        <v>376</v>
      </c>
      <c r="G76" s="91" t="s">
        <v>583</v>
      </c>
      <c r="H76" s="116"/>
    </row>
    <row r="77" spans="3:25" x14ac:dyDescent="0.25">
      <c r="C77" s="100"/>
      <c r="F77" s="2"/>
    </row>
    <row r="78" spans="3:25" x14ac:dyDescent="0.25">
      <c r="E78" s="60" t="s">
        <v>407</v>
      </c>
      <c r="F78" s="2"/>
    </row>
    <row r="79" spans="3:25" x14ac:dyDescent="0.25">
      <c r="E79" s="71" t="s">
        <v>400</v>
      </c>
    </row>
    <row r="80" spans="3:25" x14ac:dyDescent="0.25">
      <c r="C80" s="100"/>
      <c r="F80" s="90" t="s">
        <v>189</v>
      </c>
      <c r="G80" s="93" t="s">
        <v>283</v>
      </c>
      <c r="H80" s="286"/>
      <c r="I80" s="286"/>
      <c r="J80" s="167">
        <f t="array" ref="J80:Y89">TRANSPOSE('Load &amp; loss characteristics'!J145:S160)</f>
        <v>1.109</v>
      </c>
      <c r="K80" s="167">
        <v>1.109</v>
      </c>
      <c r="L80" s="167">
        <v>1.109</v>
      </c>
      <c r="M80" s="167">
        <v>1.109</v>
      </c>
      <c r="N80" s="167">
        <v>1.109</v>
      </c>
      <c r="O80" s="167">
        <v>1.044</v>
      </c>
      <c r="P80" s="167">
        <v>1.0249999999999999</v>
      </c>
      <c r="Q80" s="167">
        <v>1.109</v>
      </c>
      <c r="R80" s="167">
        <v>-1.109</v>
      </c>
      <c r="S80" s="167">
        <v>-1.044</v>
      </c>
      <c r="T80" s="167">
        <v>-1.109</v>
      </c>
      <c r="U80" s="167">
        <v>-1.109</v>
      </c>
      <c r="V80" s="167">
        <v>-1.044</v>
      </c>
      <c r="W80" s="167">
        <v>-1.044</v>
      </c>
      <c r="X80" s="167">
        <v>-1.0249999999999999</v>
      </c>
      <c r="Y80" s="167">
        <v>-1.0249999999999999</v>
      </c>
    </row>
    <row r="81" spans="3:42" x14ac:dyDescent="0.25">
      <c r="C81" s="100"/>
      <c r="F81" t="s">
        <v>191</v>
      </c>
      <c r="G81" s="89" t="s">
        <v>283</v>
      </c>
      <c r="H81" s="287"/>
      <c r="I81" s="287"/>
      <c r="J81" s="163">
        <v>1.109</v>
      </c>
      <c r="K81" s="163">
        <v>1.109</v>
      </c>
      <c r="L81" s="163">
        <v>1.109</v>
      </c>
      <c r="M81" s="163">
        <v>1.109</v>
      </c>
      <c r="N81" s="163">
        <v>1.109</v>
      </c>
      <c r="O81" s="163">
        <v>1.044</v>
      </c>
      <c r="P81" s="163">
        <v>1.0249999999999999</v>
      </c>
      <c r="Q81" s="163">
        <v>1.109</v>
      </c>
      <c r="R81" s="163">
        <v>-1.109</v>
      </c>
      <c r="S81" s="163">
        <v>-1.044</v>
      </c>
      <c r="T81" s="163">
        <v>-1.109</v>
      </c>
      <c r="U81" s="163">
        <v>-1.109</v>
      </c>
      <c r="V81" s="163">
        <v>-1.044</v>
      </c>
      <c r="W81" s="163">
        <v>-1.044</v>
      </c>
      <c r="X81" s="163">
        <v>-1.0249999999999999</v>
      </c>
      <c r="Y81" s="163">
        <v>-1.0249999999999999</v>
      </c>
    </row>
    <row r="82" spans="3:42" x14ac:dyDescent="0.25">
      <c r="C82" s="100"/>
      <c r="F82" t="s">
        <v>192</v>
      </c>
      <c r="G82" s="89" t="s">
        <v>283</v>
      </c>
      <c r="H82" s="287"/>
      <c r="I82" s="287"/>
      <c r="J82" s="163">
        <v>1.109</v>
      </c>
      <c r="K82" s="163">
        <v>1.109</v>
      </c>
      <c r="L82" s="163">
        <v>1.109</v>
      </c>
      <c r="M82" s="163">
        <v>1.109</v>
      </c>
      <c r="N82" s="163">
        <v>1.109</v>
      </c>
      <c r="O82" s="163">
        <v>1.044</v>
      </c>
      <c r="P82" s="163">
        <v>1.0249999999999999</v>
      </c>
      <c r="Q82" s="163">
        <v>1.109</v>
      </c>
      <c r="R82" s="163">
        <v>-1.109</v>
      </c>
      <c r="S82" s="163">
        <v>-1.044</v>
      </c>
      <c r="T82" s="163">
        <v>-1.109</v>
      </c>
      <c r="U82" s="163">
        <v>-1.109</v>
      </c>
      <c r="V82" s="163">
        <v>-1.044</v>
      </c>
      <c r="W82" s="163">
        <v>-1.044</v>
      </c>
      <c r="X82" s="163">
        <v>-1.0249999999999999</v>
      </c>
      <c r="Y82" s="163">
        <v>-1.0249999999999999</v>
      </c>
    </row>
    <row r="83" spans="3:42" x14ac:dyDescent="0.25">
      <c r="C83" s="100"/>
      <c r="F83" t="s">
        <v>193</v>
      </c>
      <c r="G83" s="89" t="s">
        <v>283</v>
      </c>
      <c r="H83" s="287"/>
      <c r="I83" s="287"/>
      <c r="J83" s="163">
        <v>1.109</v>
      </c>
      <c r="K83" s="163">
        <v>1.109</v>
      </c>
      <c r="L83" s="163">
        <v>1.109</v>
      </c>
      <c r="M83" s="163">
        <v>1.109</v>
      </c>
      <c r="N83" s="163">
        <v>1.109</v>
      </c>
      <c r="O83" s="163">
        <v>1.044</v>
      </c>
      <c r="P83" s="163">
        <v>1.0249999999999999</v>
      </c>
      <c r="Q83" s="163">
        <v>1.109</v>
      </c>
      <c r="R83" s="163">
        <v>-1.109</v>
      </c>
      <c r="S83" s="163">
        <v>-1.044</v>
      </c>
      <c r="T83" s="163">
        <v>-1.109</v>
      </c>
      <c r="U83" s="163">
        <v>-1.109</v>
      </c>
      <c r="V83" s="163">
        <v>-1.044</v>
      </c>
      <c r="W83" s="163">
        <v>-1.044</v>
      </c>
      <c r="X83" s="163">
        <v>-1.0249999999999999</v>
      </c>
      <c r="Y83" s="163">
        <v>-1.0249999999999999</v>
      </c>
    </row>
    <row r="84" spans="3:42" x14ac:dyDescent="0.25">
      <c r="C84" s="100"/>
      <c r="F84" t="s">
        <v>194</v>
      </c>
      <c r="G84" s="89" t="s">
        <v>283</v>
      </c>
      <c r="H84" s="287"/>
      <c r="I84" s="287"/>
      <c r="J84" s="163">
        <v>1.109</v>
      </c>
      <c r="K84" s="163">
        <v>1.109</v>
      </c>
      <c r="L84" s="163">
        <v>1.109</v>
      </c>
      <c r="M84" s="163">
        <v>1.109</v>
      </c>
      <c r="N84" s="163">
        <v>1.109</v>
      </c>
      <c r="O84" s="163">
        <v>1.044</v>
      </c>
      <c r="P84" s="163">
        <v>1.0249999999999999</v>
      </c>
      <c r="Q84" s="163">
        <v>1.109</v>
      </c>
      <c r="R84" s="163">
        <v>-1.109</v>
      </c>
      <c r="S84" s="163">
        <v>-1.044</v>
      </c>
      <c r="T84" s="163">
        <v>-1.109</v>
      </c>
      <c r="U84" s="163">
        <v>-1.109</v>
      </c>
      <c r="V84" s="163">
        <v>-1.044</v>
      </c>
      <c r="W84" s="163">
        <v>-1.044</v>
      </c>
      <c r="X84" s="163">
        <v>-1.0249999999999999</v>
      </c>
      <c r="Y84" s="163">
        <v>-1.0249999999999999</v>
      </c>
    </row>
    <row r="85" spans="3:42" x14ac:dyDescent="0.25">
      <c r="C85" s="100"/>
      <c r="F85" t="s">
        <v>195</v>
      </c>
      <c r="G85" s="89" t="s">
        <v>283</v>
      </c>
      <c r="H85" s="287"/>
      <c r="I85" s="287"/>
      <c r="J85" s="163">
        <v>1.109</v>
      </c>
      <c r="K85" s="163">
        <v>1.109</v>
      </c>
      <c r="L85" s="163">
        <v>1.109</v>
      </c>
      <c r="M85" s="163">
        <v>1.109</v>
      </c>
      <c r="N85" s="163">
        <v>1.109</v>
      </c>
      <c r="O85" s="163">
        <v>1.044</v>
      </c>
      <c r="P85" s="163">
        <v>1.0249999999999999</v>
      </c>
      <c r="Q85" s="163">
        <v>1.109</v>
      </c>
      <c r="R85" s="163">
        <v>-1.109</v>
      </c>
      <c r="S85" s="163">
        <v>-1.044</v>
      </c>
      <c r="T85" s="163">
        <v>-1.109</v>
      </c>
      <c r="U85" s="163">
        <v>-1.109</v>
      </c>
      <c r="V85" s="163">
        <v>-1.044</v>
      </c>
      <c r="W85" s="163">
        <v>-1.044</v>
      </c>
      <c r="X85" s="163">
        <v>-1.0249999999999999</v>
      </c>
      <c r="Y85" s="163">
        <v>-1.0249999999999999</v>
      </c>
    </row>
    <row r="86" spans="3:42" x14ac:dyDescent="0.25">
      <c r="C86" s="100"/>
      <c r="F86" t="s">
        <v>196</v>
      </c>
      <c r="G86" s="89" t="s">
        <v>283</v>
      </c>
      <c r="H86" s="287"/>
      <c r="I86" s="287"/>
      <c r="J86" s="163">
        <v>0</v>
      </c>
      <c r="K86" s="163">
        <v>0</v>
      </c>
      <c r="L86" s="163">
        <v>0</v>
      </c>
      <c r="M86" s="163">
        <v>0</v>
      </c>
      <c r="N86" s="163">
        <v>0</v>
      </c>
      <c r="O86" s="163">
        <v>0</v>
      </c>
      <c r="P86" s="163">
        <v>0</v>
      </c>
      <c r="Q86" s="163">
        <v>0</v>
      </c>
      <c r="R86" s="163">
        <v>0</v>
      </c>
      <c r="S86" s="163">
        <v>0</v>
      </c>
      <c r="T86" s="163">
        <v>0</v>
      </c>
      <c r="U86" s="163">
        <v>0</v>
      </c>
      <c r="V86" s="163">
        <v>0</v>
      </c>
      <c r="W86" s="163">
        <v>0</v>
      </c>
      <c r="X86" s="163">
        <v>0</v>
      </c>
      <c r="Y86" s="163">
        <v>0</v>
      </c>
    </row>
    <row r="87" spans="3:42" x14ac:dyDescent="0.25">
      <c r="C87" s="100"/>
      <c r="F87" t="s">
        <v>197</v>
      </c>
      <c r="G87" s="89" t="s">
        <v>283</v>
      </c>
      <c r="H87" s="287"/>
      <c r="I87" s="287"/>
      <c r="J87" s="163">
        <v>1.109</v>
      </c>
      <c r="K87" s="163">
        <v>1.109</v>
      </c>
      <c r="L87" s="163">
        <v>1.109</v>
      </c>
      <c r="M87" s="163">
        <v>1.109</v>
      </c>
      <c r="N87" s="163">
        <v>1.109</v>
      </c>
      <c r="O87" s="163">
        <v>1.044</v>
      </c>
      <c r="P87" s="163">
        <v>1.0249999999999999</v>
      </c>
      <c r="Q87" s="163">
        <v>1.109</v>
      </c>
      <c r="R87" s="163">
        <v>-1.109</v>
      </c>
      <c r="S87" s="163">
        <v>-1.044</v>
      </c>
      <c r="T87" s="163">
        <v>-1.109</v>
      </c>
      <c r="U87" s="163">
        <v>-1.109</v>
      </c>
      <c r="V87" s="163">
        <v>-1.044</v>
      </c>
      <c r="W87" s="163">
        <v>-1.044</v>
      </c>
      <c r="X87" s="163">
        <v>0</v>
      </c>
      <c r="Y87" s="163">
        <v>0</v>
      </c>
    </row>
    <row r="88" spans="3:42" x14ac:dyDescent="0.25">
      <c r="C88" s="100"/>
      <c r="F88" t="s">
        <v>198</v>
      </c>
      <c r="G88" s="89" t="s">
        <v>283</v>
      </c>
      <c r="H88" s="287"/>
      <c r="I88" s="287"/>
      <c r="J88" s="163">
        <v>1.109</v>
      </c>
      <c r="K88" s="163">
        <v>1.109</v>
      </c>
      <c r="L88" s="163">
        <v>1.109</v>
      </c>
      <c r="M88" s="163">
        <v>1.109</v>
      </c>
      <c r="N88" s="163">
        <v>1.109</v>
      </c>
      <c r="O88" s="163">
        <v>1.044</v>
      </c>
      <c r="P88" s="163">
        <v>0</v>
      </c>
      <c r="Q88" s="163">
        <v>1.109</v>
      </c>
      <c r="R88" s="163">
        <v>-1.109</v>
      </c>
      <c r="S88" s="163">
        <v>0</v>
      </c>
      <c r="T88" s="163">
        <v>-1.109</v>
      </c>
      <c r="U88" s="163">
        <v>-1.109</v>
      </c>
      <c r="V88" s="163">
        <v>0</v>
      </c>
      <c r="W88" s="163">
        <v>0</v>
      </c>
      <c r="X88" s="163">
        <v>0</v>
      </c>
      <c r="Y88" s="163">
        <v>0</v>
      </c>
    </row>
    <row r="89" spans="3:42" x14ac:dyDescent="0.25">
      <c r="C89" s="100"/>
      <c r="F89" t="s">
        <v>199</v>
      </c>
      <c r="G89" s="89" t="s">
        <v>283</v>
      </c>
      <c r="H89" s="287"/>
      <c r="I89" s="287"/>
      <c r="J89" s="163">
        <v>1.109</v>
      </c>
      <c r="K89" s="163">
        <v>1.109</v>
      </c>
      <c r="L89" s="163">
        <v>1.109</v>
      </c>
      <c r="M89" s="163">
        <v>1.109</v>
      </c>
      <c r="N89" s="163">
        <v>1.109</v>
      </c>
      <c r="O89" s="163">
        <v>0</v>
      </c>
      <c r="P89" s="163">
        <v>0</v>
      </c>
      <c r="Q89" s="163">
        <v>1.109</v>
      </c>
      <c r="R89" s="163">
        <v>0</v>
      </c>
      <c r="S89" s="163">
        <v>0</v>
      </c>
      <c r="T89" s="163">
        <v>0</v>
      </c>
      <c r="U89" s="163">
        <v>0</v>
      </c>
      <c r="V89" s="163">
        <v>0</v>
      </c>
      <c r="W89" s="163">
        <v>0</v>
      </c>
      <c r="X89" s="163">
        <v>0</v>
      </c>
      <c r="Y89" s="163">
        <v>0</v>
      </c>
    </row>
    <row r="90" spans="3:42" x14ac:dyDescent="0.25">
      <c r="C90" s="100"/>
      <c r="F90" t="s">
        <v>375</v>
      </c>
      <c r="G90" s="89" t="s">
        <v>283</v>
      </c>
      <c r="J90" s="114"/>
      <c r="K90" s="114"/>
      <c r="L90" s="114"/>
      <c r="M90" s="114"/>
      <c r="N90" s="114"/>
      <c r="O90" s="114"/>
      <c r="P90" s="114"/>
      <c r="Q90" s="114"/>
      <c r="R90" s="114"/>
      <c r="S90" s="114"/>
      <c r="T90" s="114"/>
      <c r="U90" s="114"/>
      <c r="V90" s="114"/>
      <c r="W90" s="114"/>
      <c r="X90" s="114"/>
      <c r="Y90" s="114"/>
    </row>
    <row r="91" spans="3:42" x14ac:dyDescent="0.25">
      <c r="C91" s="100"/>
      <c r="F91" s="91" t="s">
        <v>376</v>
      </c>
      <c r="G91" s="96" t="s">
        <v>283</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120</v>
      </c>
      <c r="H93" s="47"/>
      <c r="J93" s="92"/>
      <c r="L93" s="92"/>
      <c r="AP93" s="3"/>
    </row>
    <row r="94" spans="3:42" x14ac:dyDescent="0.25">
      <c r="C94" s="60"/>
      <c r="D94"/>
      <c r="E94"/>
      <c r="F94" s="90" t="s">
        <v>191</v>
      </c>
      <c r="G94" s="90" t="s">
        <v>167</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192</v>
      </c>
      <c r="G95" t="s">
        <v>167</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193</v>
      </c>
      <c r="G96" t="s">
        <v>167</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194</v>
      </c>
      <c r="G97" t="s">
        <v>167</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195</v>
      </c>
      <c r="G98" t="s">
        <v>167</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196</v>
      </c>
      <c r="G99" t="s">
        <v>167</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197</v>
      </c>
      <c r="G100" t="s">
        <v>167</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198</v>
      </c>
      <c r="G101" t="s">
        <v>167</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199</v>
      </c>
      <c r="G102" s="91" t="s">
        <v>167</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693</v>
      </c>
    </row>
    <row r="105" spans="3:42" x14ac:dyDescent="0.25">
      <c r="C105" s="100"/>
      <c r="F105" s="90" t="s">
        <v>189</v>
      </c>
      <c r="G105" s="90" t="s">
        <v>167</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191</v>
      </c>
      <c r="G106" t="s">
        <v>167</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192</v>
      </c>
      <c r="G107" t="s">
        <v>167</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193</v>
      </c>
      <c r="G108" t="s">
        <v>167</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194</v>
      </c>
      <c r="G109" t="s">
        <v>167</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195</v>
      </c>
      <c r="G110" t="s">
        <v>167</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196</v>
      </c>
      <c r="G111" t="s">
        <v>167</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197</v>
      </c>
      <c r="G112" t="s">
        <v>167</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198</v>
      </c>
      <c r="G113" t="s">
        <v>167</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199</v>
      </c>
      <c r="G114" t="s">
        <v>167</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375</v>
      </c>
      <c r="G115" t="s">
        <v>167</v>
      </c>
      <c r="J115" s="95"/>
      <c r="K115" s="95"/>
      <c r="L115" s="95"/>
      <c r="M115" s="95"/>
      <c r="N115" s="95"/>
      <c r="O115" s="95"/>
      <c r="P115" s="95"/>
      <c r="Q115" s="95"/>
      <c r="R115" s="95"/>
      <c r="S115" s="95"/>
      <c r="T115" s="95"/>
      <c r="U115" s="95"/>
      <c r="V115" s="95"/>
      <c r="W115" s="95"/>
      <c r="X115" s="95"/>
      <c r="Y115" s="95"/>
    </row>
    <row r="116" spans="2:27" x14ac:dyDescent="0.25">
      <c r="C116" s="100"/>
      <c r="F116" s="91" t="s">
        <v>376</v>
      </c>
      <c r="G116" s="91" t="s">
        <v>167</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694</v>
      </c>
      <c r="F118" s="2"/>
      <c r="I118" t="s">
        <v>154</v>
      </c>
      <c r="AA118" t="s">
        <v>695</v>
      </c>
    </row>
    <row r="119" spans="2:27" x14ac:dyDescent="0.25">
      <c r="D119"/>
      <c r="E119" s="71" t="s">
        <v>696</v>
      </c>
      <c r="F119" s="2"/>
    </row>
    <row r="120" spans="2:27" x14ac:dyDescent="0.25">
      <c r="D120"/>
      <c r="E120" s="71" t="s">
        <v>697</v>
      </c>
      <c r="F120" s="2"/>
    </row>
    <row r="121" spans="2:27" x14ac:dyDescent="0.25">
      <c r="D121"/>
      <c r="F121" s="90" t="s">
        <v>698</v>
      </c>
      <c r="G121" s="90" t="s">
        <v>671</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699</v>
      </c>
      <c r="G122" t="s">
        <v>671</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227</v>
      </c>
      <c r="G123" s="91" t="s">
        <v>671</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700</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701</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619</v>
      </c>
      <c r="I131" t="s">
        <v>154</v>
      </c>
      <c r="AA131" t="s">
        <v>702</v>
      </c>
    </row>
    <row r="132" spans="3:27" x14ac:dyDescent="0.25">
      <c r="C132" s="100"/>
      <c r="F132" s="90" t="s">
        <v>189</v>
      </c>
      <c r="G132" s="90" t="s">
        <v>271</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191</v>
      </c>
      <c r="G133" t="s">
        <v>271</v>
      </c>
      <c r="J133" s="114"/>
      <c r="K133" s="114"/>
      <c r="L133" s="114"/>
      <c r="M133" s="114"/>
      <c r="N133" s="114"/>
      <c r="O133" s="114"/>
      <c r="P133" s="114"/>
      <c r="Q133" s="114"/>
      <c r="R133" s="114"/>
      <c r="S133" s="114"/>
      <c r="T133" s="114"/>
      <c r="U133" s="114"/>
      <c r="V133" s="114"/>
      <c r="W133" s="114"/>
      <c r="X133" s="114"/>
      <c r="Y133" s="114"/>
    </row>
    <row r="134" spans="3:27" x14ac:dyDescent="0.25">
      <c r="C134" s="100"/>
      <c r="F134" t="s">
        <v>192</v>
      </c>
      <c r="G134" t="s">
        <v>271</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v>
      </c>
      <c r="Q134" s="141">
        <f t="shared" ref="Q134" si="3">hundred*Q95*$H53*Q82/$H39*(1-Q107)/days_in_year/(1+$H25)*PowerFactor</f>
        <v>0</v>
      </c>
      <c r="R134" s="114"/>
      <c r="S134" s="114"/>
      <c r="T134" s="114"/>
      <c r="U134" s="114"/>
      <c r="V134" s="114"/>
      <c r="W134" s="114"/>
      <c r="X134" s="114"/>
      <c r="Y134" s="114"/>
    </row>
    <row r="135" spans="3:27" x14ac:dyDescent="0.25">
      <c r="C135" s="100"/>
      <c r="F135" t="s">
        <v>193</v>
      </c>
      <c r="G135" t="s">
        <v>271</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194</v>
      </c>
      <c r="G136" t="s">
        <v>271</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0.73964101766521417</v>
      </c>
      <c r="Q136" s="141">
        <f t="shared" ref="Q136" si="11">hundred*Q97*$H55*Q84/$H41*(1-Q109)/days_in_year/(1+$H27)*PowerFactor</f>
        <v>0</v>
      </c>
      <c r="R136" s="114"/>
      <c r="S136" s="114"/>
      <c r="T136" s="114"/>
      <c r="U136" s="114"/>
      <c r="V136" s="114"/>
      <c r="W136" s="114"/>
      <c r="X136" s="114"/>
      <c r="Y136" s="114"/>
    </row>
    <row r="137" spans="3:27" x14ac:dyDescent="0.25">
      <c r="C137" s="100"/>
      <c r="F137" t="s">
        <v>195</v>
      </c>
      <c r="G137" t="s">
        <v>271</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0.94764624215945625</v>
      </c>
      <c r="Q137" s="141">
        <f t="shared" ref="Q137" si="15">hundred*Q98*$H56*Q85/$H42*(1-Q110)/days_in_year/(1+$H28)*PowerFactor</f>
        <v>0</v>
      </c>
      <c r="R137" s="114"/>
      <c r="S137" s="114"/>
      <c r="T137" s="114"/>
      <c r="U137" s="114"/>
      <c r="V137" s="114"/>
      <c r="W137" s="114"/>
      <c r="X137" s="114"/>
      <c r="Y137" s="114"/>
    </row>
    <row r="138" spans="3:27" x14ac:dyDescent="0.25">
      <c r="C138" s="100"/>
      <c r="F138" t="s">
        <v>196</v>
      </c>
      <c r="G138" t="s">
        <v>271</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v>
      </c>
      <c r="Q138" s="141">
        <f t="shared" ref="Q138" si="19">hundred*Q99*$H57*Q86/$H43*(1-Q111)/days_in_year/(1+$H29)*PowerFactor</f>
        <v>0</v>
      </c>
      <c r="R138" s="114"/>
      <c r="S138" s="114"/>
      <c r="T138" s="114"/>
      <c r="U138" s="114"/>
      <c r="V138" s="114"/>
      <c r="W138" s="114"/>
      <c r="X138" s="114"/>
      <c r="Y138" s="114"/>
    </row>
    <row r="139" spans="3:27" x14ac:dyDescent="0.25">
      <c r="C139" s="100"/>
      <c r="F139" t="s">
        <v>197</v>
      </c>
      <c r="G139" t="s">
        <v>271</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0.70574391507974465</v>
      </c>
      <c r="O139" s="141">
        <f t="shared" si="22"/>
        <v>3.3218965164258498</v>
      </c>
      <c r="P139" s="141">
        <f t="shared" si="22"/>
        <v>3.2614405453414701</v>
      </c>
      <c r="Q139" s="141">
        <f t="shared" ref="Q139" si="23">hundred*Q100*$H58*Q87/$H44*(1-Q112)/days_in_year/(1+$H30)*PowerFactor</f>
        <v>0</v>
      </c>
      <c r="R139" s="114"/>
      <c r="S139" s="114"/>
      <c r="T139" s="114"/>
      <c r="U139" s="114"/>
      <c r="V139" s="114"/>
      <c r="W139" s="114"/>
      <c r="X139" s="114"/>
      <c r="Y139" s="114"/>
    </row>
    <row r="140" spans="3:27" x14ac:dyDescent="0.25">
      <c r="C140" s="100"/>
      <c r="F140" t="s">
        <v>198</v>
      </c>
      <c r="G140" t="s">
        <v>271</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0.88686714649374032</v>
      </c>
      <c r="O140" s="141">
        <f t="shared" si="26"/>
        <v>0.8348866554909512</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199</v>
      </c>
      <c r="G141" t="s">
        <v>271</v>
      </c>
      <c r="J141" s="141">
        <f t="shared" ref="J141:K141" si="28">hundred*J102*$H60*J89/$H46*(1-J114)/days_in_year/(1+$H32)*PowerFactor</f>
        <v>1.3553384914244866</v>
      </c>
      <c r="K141" s="141">
        <f t="shared" si="28"/>
        <v>1.3553384914244866</v>
      </c>
      <c r="L141" s="141">
        <f t="shared" ref="L141:M141" si="29">hundred*L102*$H60*L89/$H46*(1-L114)/days_in_year/(1+$H32)*PowerFactor</f>
        <v>1.3553384914244866</v>
      </c>
      <c r="M141" s="141">
        <f t="shared" si="29"/>
        <v>1.3553384914244866</v>
      </c>
      <c r="N141" s="141">
        <f t="shared" ref="N141:P141" si="30">hundred*N102*$H60*N89/$H46*(1-N114)/days_in_year/(1+$H32)*PowerFactor</f>
        <v>1.3553384914244866</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375</v>
      </c>
      <c r="G142" t="s">
        <v>271</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376</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620</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189</v>
      </c>
      <c r="G146" s="90" t="s">
        <v>271</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191</v>
      </c>
      <c r="G147" t="s">
        <v>271</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192</v>
      </c>
      <c r="G148" t="s">
        <v>271</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v>
      </c>
      <c r="Q148" s="141">
        <f t="shared" ref="Q148" si="43">hundred*Q95*$H67*Q82/$H39/days_in_year/(1+$H25)*PowerFactor</f>
        <v>0</v>
      </c>
      <c r="R148" s="114"/>
      <c r="S148" s="114"/>
      <c r="T148" s="114"/>
      <c r="U148" s="114"/>
      <c r="V148" s="114"/>
      <c r="W148" s="114"/>
      <c r="X148" s="114"/>
      <c r="Y148" s="114"/>
    </row>
    <row r="149" spans="3:27" x14ac:dyDescent="0.25">
      <c r="C149" s="100"/>
      <c r="F149" t="s">
        <v>193</v>
      </c>
      <c r="G149" t="s">
        <v>271</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194</v>
      </c>
      <c r="G150" t="s">
        <v>271</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0.55435817870571547</v>
      </c>
      <c r="Q150" s="141">
        <f t="shared" ref="Q150" si="51">hundred*Q97*$H69*Q84/$H41/days_in_year/(1+$H27)*PowerFactor</f>
        <v>0</v>
      </c>
      <c r="R150" s="114"/>
      <c r="S150" s="114"/>
      <c r="T150" s="114"/>
      <c r="U150" s="114"/>
      <c r="V150" s="114"/>
      <c r="W150" s="114"/>
      <c r="X150" s="114"/>
      <c r="Y150" s="114"/>
    </row>
    <row r="151" spans="3:27" x14ac:dyDescent="0.25">
      <c r="C151" s="100"/>
      <c r="F151" t="s">
        <v>195</v>
      </c>
      <c r="G151" t="s">
        <v>271</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0.71025731714978479</v>
      </c>
      <c r="Q151" s="141">
        <f t="shared" ref="Q151" si="55">hundred*Q98*$H70*Q85/$H42/days_in_year/(1+$H28)*PowerFactor</f>
        <v>0</v>
      </c>
      <c r="R151" s="114"/>
      <c r="S151" s="114"/>
      <c r="T151" s="114"/>
      <c r="U151" s="114"/>
      <c r="V151" s="114"/>
      <c r="W151" s="114"/>
      <c r="X151" s="114"/>
      <c r="Y151" s="114"/>
    </row>
    <row r="152" spans="3:27" x14ac:dyDescent="0.25">
      <c r="C152" s="100"/>
      <c r="F152" t="s">
        <v>196</v>
      </c>
      <c r="G152" t="s">
        <v>271</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v>
      </c>
      <c r="Q152" s="141">
        <f t="shared" ref="Q152" si="59">hundred*Q99*$H71*Q86/$H43/days_in_year/(1+$H29)*PowerFactor</f>
        <v>0</v>
      </c>
      <c r="R152" s="114"/>
      <c r="S152" s="114"/>
      <c r="T152" s="114"/>
      <c r="U152" s="114"/>
      <c r="V152" s="114"/>
      <c r="W152" s="114"/>
      <c r="X152" s="114"/>
      <c r="Y152" s="114"/>
    </row>
    <row r="153" spans="3:27" x14ac:dyDescent="0.25">
      <c r="C153" s="100"/>
      <c r="F153" t="s">
        <v>197</v>
      </c>
      <c r="G153" t="s">
        <v>271</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0.52895242699118961</v>
      </c>
      <c r="O153" s="141">
        <f t="shared" si="62"/>
        <v>2.4897490251523982</v>
      </c>
      <c r="P153" s="141">
        <f t="shared" si="62"/>
        <v>2.4444375007482835</v>
      </c>
      <c r="Q153" s="141">
        <f t="shared" ref="Q153" si="63">hundred*Q100*$H72*Q87/$H44/days_in_year/(1+$H30)*PowerFactor</f>
        <v>0</v>
      </c>
      <c r="R153" s="114"/>
      <c r="S153" s="114"/>
      <c r="T153" s="114"/>
      <c r="U153" s="114"/>
      <c r="V153" s="114"/>
      <c r="W153" s="114"/>
      <c r="X153" s="114"/>
      <c r="Y153" s="114"/>
    </row>
    <row r="154" spans="3:27" x14ac:dyDescent="0.25">
      <c r="C154" s="100"/>
      <c r="F154" t="s">
        <v>198</v>
      </c>
      <c r="G154" t="s">
        <v>271</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0.66470361207947271</v>
      </c>
      <c r="O154" s="141">
        <f t="shared" si="66"/>
        <v>0.6257444283236876</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199</v>
      </c>
      <c r="G155" t="s">
        <v>271</v>
      </c>
      <c r="J155" s="141">
        <f t="shared" ref="J155:K155" si="68">hundred*J102*$H74*J89/$H46/days_in_year/(1+$H32)*PowerFactor</f>
        <v>1.015821134430261</v>
      </c>
      <c r="K155" s="141">
        <f t="shared" si="68"/>
        <v>1.015821134430261</v>
      </c>
      <c r="L155" s="141">
        <f t="shared" ref="L155:M155" si="69">hundred*L102*$H74*L89/$H46/days_in_year/(1+$H32)*PowerFactor</f>
        <v>1.015821134430261</v>
      </c>
      <c r="M155" s="141">
        <f t="shared" si="69"/>
        <v>1.015821134430261</v>
      </c>
      <c r="N155" s="141">
        <f t="shared" ref="N155:P155" si="70">hundred*N102*$H74*N89/$H46/days_in_year/(1+$H32)*PowerFactor</f>
        <v>1.015821134430261</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375</v>
      </c>
      <c r="G156" t="s">
        <v>271</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376</v>
      </c>
      <c r="G157" s="91" t="s">
        <v>271</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619</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189</v>
      </c>
      <c r="G162" s="90" t="s">
        <v>271</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191</v>
      </c>
      <c r="G163" t="s">
        <v>271</v>
      </c>
      <c r="J163" s="114"/>
      <c r="K163" s="114"/>
      <c r="L163" s="114"/>
      <c r="M163" s="114"/>
      <c r="N163" s="114"/>
      <c r="O163" s="114"/>
      <c r="P163" s="114"/>
      <c r="Q163" s="114"/>
      <c r="R163" s="114"/>
      <c r="S163" s="114"/>
      <c r="T163" s="114"/>
      <c r="U163" s="114"/>
      <c r="V163" s="114"/>
      <c r="W163" s="114"/>
      <c r="X163" s="114"/>
      <c r="Y163" s="114"/>
    </row>
    <row r="164" spans="3:25" x14ac:dyDescent="0.25">
      <c r="C164" s="100"/>
      <c r="F164" t="s">
        <v>192</v>
      </c>
      <c r="G164" t="s">
        <v>271</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v>
      </c>
      <c r="Q164" s="141">
        <f t="shared" ref="Q164" si="75">hundred*Q95*$H53*Q82/$H39/days_in_year/(1+$H25)*PowerFactor</f>
        <v>0</v>
      </c>
      <c r="R164" s="114"/>
      <c r="S164" s="114"/>
      <c r="T164" s="114"/>
      <c r="U164" s="114"/>
      <c r="V164" s="114"/>
      <c r="W164" s="114"/>
      <c r="X164" s="114"/>
      <c r="Y164" s="114"/>
    </row>
    <row r="165" spans="3:25" x14ac:dyDescent="0.25">
      <c r="C165" s="100"/>
      <c r="F165" t="s">
        <v>193</v>
      </c>
      <c r="G165" t="s">
        <v>271</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194</v>
      </c>
      <c r="G166" t="s">
        <v>271</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0.73964101766521417</v>
      </c>
      <c r="Q166" s="141">
        <f t="shared" ref="Q166" si="83">hundred*Q97*$H55*Q84/$H41/days_in_year/(1+$H27)*PowerFactor</f>
        <v>0</v>
      </c>
      <c r="R166" s="114"/>
      <c r="S166" s="114"/>
      <c r="T166" s="114"/>
      <c r="U166" s="114"/>
      <c r="V166" s="114"/>
      <c r="W166" s="114"/>
      <c r="X166" s="114"/>
      <c r="Y166" s="114"/>
    </row>
    <row r="167" spans="3:25" x14ac:dyDescent="0.25">
      <c r="C167" s="100"/>
      <c r="F167" t="s">
        <v>195</v>
      </c>
      <c r="G167" t="s">
        <v>271</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0.94764624215945625</v>
      </c>
      <c r="Q167" s="141">
        <f t="shared" ref="Q167" si="87">hundred*Q98*$H56*Q85/$H42/days_in_year/(1+$H28)*PowerFactor</f>
        <v>0</v>
      </c>
      <c r="R167" s="114"/>
      <c r="S167" s="114"/>
      <c r="T167" s="114"/>
      <c r="U167" s="114"/>
      <c r="V167" s="114"/>
      <c r="W167" s="114"/>
      <c r="X167" s="114"/>
      <c r="Y167" s="114"/>
    </row>
    <row r="168" spans="3:25" x14ac:dyDescent="0.25">
      <c r="C168" s="100"/>
      <c r="F168" t="s">
        <v>196</v>
      </c>
      <c r="G168" t="s">
        <v>271</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v>
      </c>
      <c r="Q168" s="141">
        <f t="shared" ref="Q168" si="91">hundred*Q99*$H57*Q86/$H43/days_in_year/(1+$H29)*PowerFactor</f>
        <v>0</v>
      </c>
      <c r="R168" s="114"/>
      <c r="S168" s="114"/>
      <c r="T168" s="114"/>
      <c r="U168" s="114"/>
      <c r="V168" s="114"/>
      <c r="W168" s="114"/>
      <c r="X168" s="114"/>
      <c r="Y168" s="114"/>
    </row>
    <row r="169" spans="3:25" x14ac:dyDescent="0.25">
      <c r="C169" s="100"/>
      <c r="F169" t="s">
        <v>197</v>
      </c>
      <c r="G169" t="s">
        <v>271</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0.70574391507974465</v>
      </c>
      <c r="O169" s="141">
        <f t="shared" si="94"/>
        <v>3.3218965164258498</v>
      </c>
      <c r="P169" s="141">
        <f t="shared" si="94"/>
        <v>3.2614405453414701</v>
      </c>
      <c r="Q169" s="141">
        <f t="shared" ref="Q169" si="95">hundred*Q100*$H58*Q87/$H44/days_in_year/(1+$H30)*PowerFactor</f>
        <v>0</v>
      </c>
      <c r="R169" s="114"/>
      <c r="S169" s="114"/>
      <c r="T169" s="114"/>
      <c r="U169" s="114"/>
      <c r="V169" s="114"/>
      <c r="W169" s="114"/>
      <c r="X169" s="114"/>
      <c r="Y169" s="114"/>
    </row>
    <row r="170" spans="3:25" x14ac:dyDescent="0.25">
      <c r="C170" s="100"/>
      <c r="F170" t="s">
        <v>198</v>
      </c>
      <c r="G170" t="s">
        <v>271</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0.88686714649374032</v>
      </c>
      <c r="O170" s="141">
        <f t="shared" si="98"/>
        <v>0.8348866554909512</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199</v>
      </c>
      <c r="G171" t="s">
        <v>271</v>
      </c>
      <c r="J171" s="141">
        <f t="shared" ref="J171:K171" si="100">hundred*J102*$H60*J89/$H46/days_in_year/(1+$H32)*PowerFactor</f>
        <v>1.3553384914244866</v>
      </c>
      <c r="K171" s="141">
        <f t="shared" si="100"/>
        <v>1.3553384914244866</v>
      </c>
      <c r="L171" s="141">
        <f t="shared" ref="L171:M171" si="101">hundred*L102*$H60*L89/$H46/days_in_year/(1+$H32)*PowerFactor</f>
        <v>1.3553384914244866</v>
      </c>
      <c r="M171" s="141">
        <f t="shared" si="101"/>
        <v>1.3553384914244866</v>
      </c>
      <c r="N171" s="141">
        <f t="shared" ref="N171:P171" si="102">hundred*N102*$H60*N89/$H46/days_in_year/(1+$H32)*PowerFactor</f>
        <v>1.3553384914244866</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375</v>
      </c>
      <c r="G172" t="s">
        <v>271</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376</v>
      </c>
      <c r="G173" s="91" t="s">
        <v>271</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620</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189</v>
      </c>
      <c r="G176" s="90" t="s">
        <v>271</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191</v>
      </c>
      <c r="G177" t="s">
        <v>271</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192</v>
      </c>
      <c r="G178" t="s">
        <v>271</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v>
      </c>
      <c r="Q178" s="141">
        <f t="shared" ref="Q178" si="115">hundred*Q95*$H67*Q82/$H39/days_in_year/(1+$H25)*PowerFactor</f>
        <v>0</v>
      </c>
      <c r="R178" s="114"/>
      <c r="S178" s="114"/>
      <c r="T178" s="114"/>
      <c r="U178" s="114"/>
      <c r="V178" s="114"/>
      <c r="W178" s="114"/>
      <c r="X178" s="114"/>
      <c r="Y178" s="114"/>
    </row>
    <row r="179" spans="3:27" x14ac:dyDescent="0.25">
      <c r="C179" s="100"/>
      <c r="F179" t="s">
        <v>193</v>
      </c>
      <c r="G179" t="s">
        <v>271</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194</v>
      </c>
      <c r="G180" t="s">
        <v>271</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0.55435817870571547</v>
      </c>
      <c r="Q180" s="141">
        <f t="shared" ref="Q180" si="123">hundred*Q97*$H69*Q84/$H41/days_in_year/(1+$H27)*PowerFactor</f>
        <v>0</v>
      </c>
      <c r="R180" s="114"/>
      <c r="S180" s="114"/>
      <c r="T180" s="114"/>
      <c r="U180" s="114"/>
      <c r="V180" s="114"/>
      <c r="W180" s="114"/>
      <c r="X180" s="114"/>
      <c r="Y180" s="114"/>
    </row>
    <row r="181" spans="3:27" x14ac:dyDescent="0.25">
      <c r="C181" s="100"/>
      <c r="F181" t="s">
        <v>195</v>
      </c>
      <c r="G181" t="s">
        <v>271</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0.71025731714978479</v>
      </c>
      <c r="Q181" s="141">
        <f t="shared" ref="Q181" si="127">hundred*Q98*$H70*Q85/$H42/days_in_year/(1+$H28)*PowerFactor</f>
        <v>0</v>
      </c>
      <c r="R181" s="114"/>
      <c r="S181" s="114"/>
      <c r="T181" s="114"/>
      <c r="U181" s="114"/>
      <c r="V181" s="114"/>
      <c r="W181" s="114"/>
      <c r="X181" s="114"/>
      <c r="Y181" s="114"/>
    </row>
    <row r="182" spans="3:27" x14ac:dyDescent="0.25">
      <c r="C182" s="100"/>
      <c r="F182" t="s">
        <v>196</v>
      </c>
      <c r="G182" t="s">
        <v>271</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v>
      </c>
      <c r="Q182" s="141">
        <f t="shared" ref="Q182" si="131">hundred*Q99*$H71*Q86/$H43/days_in_year/(1+$H29)*PowerFactor</f>
        <v>0</v>
      </c>
      <c r="R182" s="114"/>
      <c r="S182" s="114"/>
      <c r="T182" s="114"/>
      <c r="U182" s="114"/>
      <c r="V182" s="114"/>
      <c r="W182" s="114"/>
      <c r="X182" s="114"/>
      <c r="Y182" s="114"/>
    </row>
    <row r="183" spans="3:27" x14ac:dyDescent="0.25">
      <c r="C183" s="100"/>
      <c r="F183" t="s">
        <v>197</v>
      </c>
      <c r="G183" t="s">
        <v>271</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0.52895242699118961</v>
      </c>
      <c r="O183" s="141">
        <f t="shared" si="134"/>
        <v>2.4897490251523982</v>
      </c>
      <c r="P183" s="141">
        <f t="shared" si="134"/>
        <v>2.4444375007482835</v>
      </c>
      <c r="Q183" s="141">
        <f t="shared" ref="Q183" si="135">hundred*Q100*$H72*Q87/$H44/days_in_year/(1+$H30)*PowerFactor</f>
        <v>0</v>
      </c>
      <c r="R183" s="114"/>
      <c r="S183" s="114"/>
      <c r="T183" s="114"/>
      <c r="U183" s="114"/>
      <c r="V183" s="114"/>
      <c r="W183" s="114"/>
      <c r="X183" s="114"/>
      <c r="Y183" s="114"/>
    </row>
    <row r="184" spans="3:27" x14ac:dyDescent="0.25">
      <c r="C184" s="100"/>
      <c r="F184" t="s">
        <v>198</v>
      </c>
      <c r="G184" t="s">
        <v>271</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0.66470361207947271</v>
      </c>
      <c r="O184" s="141">
        <f t="shared" si="138"/>
        <v>0.6257444283236876</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199</v>
      </c>
      <c r="G185" t="s">
        <v>271</v>
      </c>
      <c r="J185" s="141">
        <f t="shared" ref="J185:K185" si="140">hundred*J102*$H74*J89/$H46/days_in_year/(1+$H32)*PowerFactor</f>
        <v>1.015821134430261</v>
      </c>
      <c r="K185" s="141">
        <f t="shared" si="140"/>
        <v>1.015821134430261</v>
      </c>
      <c r="L185" s="141">
        <f t="shared" ref="L185:M185" si="141">hundred*L102*$H74*L89/$H46/days_in_year/(1+$H32)*PowerFactor</f>
        <v>1.015821134430261</v>
      </c>
      <c r="M185" s="141">
        <f t="shared" si="141"/>
        <v>1.015821134430261</v>
      </c>
      <c r="N185" s="141">
        <f t="shared" ref="N185:P185" si="142">hundred*N102*$H74*N89/$H46/days_in_year/(1+$H32)*PowerFactor</f>
        <v>1.015821134430261</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375</v>
      </c>
      <c r="G186" t="s">
        <v>271</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376</v>
      </c>
      <c r="G187" s="91" t="s">
        <v>271</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154</v>
      </c>
      <c r="J190" s="101"/>
      <c r="K190" s="101"/>
      <c r="L190" s="101"/>
      <c r="M190" s="101"/>
      <c r="N190" s="101"/>
      <c r="O190" s="101"/>
      <c r="P190" s="101"/>
      <c r="Q190" s="101"/>
      <c r="R190" s="101"/>
      <c r="S190" s="101"/>
      <c r="T190" s="101"/>
      <c r="U190" s="101"/>
      <c r="V190" s="101"/>
      <c r="W190" s="101"/>
      <c r="X190" s="101"/>
      <c r="Y190" s="101"/>
      <c r="AA190" t="s">
        <v>703</v>
      </c>
    </row>
    <row r="191" spans="3:27" x14ac:dyDescent="0.25">
      <c r="C191" s="100"/>
      <c r="D191"/>
      <c r="E191" s="60" t="s">
        <v>619</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189</v>
      </c>
      <c r="G192" s="90" t="s">
        <v>271</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191</v>
      </c>
      <c r="G193" t="s">
        <v>271</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192</v>
      </c>
      <c r="G194" t="s">
        <v>271</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v>
      </c>
      <c r="Q194" s="141">
        <f t="shared" ref="Q194" si="147">Q$121 * Q134</f>
        <v>0</v>
      </c>
      <c r="R194" s="114"/>
      <c r="S194" s="114"/>
      <c r="T194" s="114"/>
      <c r="U194" s="114"/>
      <c r="V194" s="114"/>
      <c r="W194" s="114"/>
      <c r="X194" s="114"/>
      <c r="Y194" s="114"/>
    </row>
    <row r="195" spans="3:25" x14ac:dyDescent="0.25">
      <c r="C195" s="100"/>
      <c r="D195"/>
      <c r="F195" t="s">
        <v>193</v>
      </c>
      <c r="G195" t="s">
        <v>271</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194</v>
      </c>
      <c r="G196" t="s">
        <v>271</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0.73964101766521417</v>
      </c>
      <c r="Q196" s="141">
        <f t="shared" ref="Q196" si="155">Q$121 * Q136</f>
        <v>0</v>
      </c>
      <c r="R196" s="114"/>
      <c r="S196" s="114"/>
      <c r="T196" s="114"/>
      <c r="U196" s="114"/>
      <c r="V196" s="114"/>
      <c r="W196" s="114"/>
      <c r="X196" s="114"/>
      <c r="Y196" s="114"/>
    </row>
    <row r="197" spans="3:25" x14ac:dyDescent="0.25">
      <c r="C197" s="100"/>
      <c r="D197"/>
      <c r="F197" t="s">
        <v>195</v>
      </c>
      <c r="G197" t="s">
        <v>271</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0.94764624215945625</v>
      </c>
      <c r="Q197" s="141">
        <f t="shared" ref="Q197" si="159">Q$121 * Q137</f>
        <v>0</v>
      </c>
      <c r="R197" s="114"/>
      <c r="S197" s="114"/>
      <c r="T197" s="114"/>
      <c r="U197" s="114"/>
      <c r="V197" s="114"/>
      <c r="W197" s="114"/>
      <c r="X197" s="114"/>
      <c r="Y197" s="114"/>
    </row>
    <row r="198" spans="3:25" x14ac:dyDescent="0.25">
      <c r="C198" s="100"/>
      <c r="D198"/>
      <c r="F198" t="s">
        <v>196</v>
      </c>
      <c r="G198" t="s">
        <v>271</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v>
      </c>
      <c r="Q198" s="141">
        <f t="shared" ref="Q198" si="163">Q$121 * Q138</f>
        <v>0</v>
      </c>
      <c r="R198" s="114"/>
      <c r="S198" s="114"/>
      <c r="T198" s="114"/>
      <c r="U198" s="114"/>
      <c r="V198" s="114"/>
      <c r="W198" s="114"/>
      <c r="X198" s="114"/>
      <c r="Y198" s="114"/>
    </row>
    <row r="199" spans="3:25" x14ac:dyDescent="0.25">
      <c r="C199" s="100"/>
      <c r="D199"/>
      <c r="F199" t="s">
        <v>197</v>
      </c>
      <c r="G199" t="s">
        <v>271</v>
      </c>
      <c r="J199" s="141">
        <f t="shared" ref="J199:K199" si="164">J$121 * J139</f>
        <v>0</v>
      </c>
      <c r="K199" s="141">
        <f t="shared" si="164"/>
        <v>0</v>
      </c>
      <c r="L199" s="141">
        <f t="shared" ref="L199:M199" si="165">L$121 * L139</f>
        <v>0</v>
      </c>
      <c r="M199" s="141">
        <f t="shared" si="165"/>
        <v>0</v>
      </c>
      <c r="N199" s="141">
        <f t="shared" ref="N199:P199" si="166">N$121 * N139</f>
        <v>0.70574391507974465</v>
      </c>
      <c r="O199" s="141">
        <f t="shared" si="166"/>
        <v>3.3218965164258498</v>
      </c>
      <c r="P199" s="141">
        <f t="shared" si="166"/>
        <v>3.2614405453414701</v>
      </c>
      <c r="Q199" s="141">
        <f t="shared" ref="Q199" si="167">Q$121 * Q139</f>
        <v>0</v>
      </c>
      <c r="R199" s="114"/>
      <c r="S199" s="114"/>
      <c r="T199" s="114"/>
      <c r="U199" s="114"/>
      <c r="V199" s="114"/>
      <c r="W199" s="114"/>
      <c r="X199" s="114"/>
      <c r="Y199" s="114"/>
    </row>
    <row r="200" spans="3:25" x14ac:dyDescent="0.25">
      <c r="C200" s="100"/>
      <c r="D200"/>
      <c r="F200" t="s">
        <v>198</v>
      </c>
      <c r="G200" t="s">
        <v>271</v>
      </c>
      <c r="J200" s="141">
        <f t="shared" ref="J200:K200" si="168">J$121 * J140</f>
        <v>0</v>
      </c>
      <c r="K200" s="141">
        <f t="shared" si="168"/>
        <v>0</v>
      </c>
      <c r="L200" s="141">
        <f t="shared" ref="L200:M200" si="169">L$121 * L140</f>
        <v>0</v>
      </c>
      <c r="M200" s="141">
        <f t="shared" si="169"/>
        <v>0</v>
      </c>
      <c r="N200" s="141">
        <f t="shared" ref="N200:P200" si="170">N$121 * N140</f>
        <v>0.88686714649374032</v>
      </c>
      <c r="O200" s="141">
        <f t="shared" si="170"/>
        <v>0.8348866554909512</v>
      </c>
      <c r="P200" s="141">
        <f t="shared" si="170"/>
        <v>0</v>
      </c>
      <c r="Q200" s="141">
        <f t="shared" ref="Q200" si="171">Q$121 * Q140</f>
        <v>0</v>
      </c>
      <c r="R200" s="114"/>
      <c r="S200" s="114"/>
      <c r="T200" s="114"/>
      <c r="U200" s="114"/>
      <c r="V200" s="114"/>
      <c r="W200" s="114"/>
      <c r="X200" s="114"/>
      <c r="Y200" s="114"/>
    </row>
    <row r="201" spans="3:25" x14ac:dyDescent="0.25">
      <c r="C201" s="100"/>
      <c r="D201"/>
      <c r="F201" t="s">
        <v>199</v>
      </c>
      <c r="G201" t="s">
        <v>271</v>
      </c>
      <c r="J201" s="141">
        <f t="shared" ref="J201:K201" si="172">J$121 * J141</f>
        <v>0</v>
      </c>
      <c r="K201" s="141">
        <f t="shared" si="172"/>
        <v>0</v>
      </c>
      <c r="L201" s="141">
        <f t="shared" ref="L201:M201" si="173">L$121 * L141</f>
        <v>0</v>
      </c>
      <c r="M201" s="141">
        <f t="shared" si="173"/>
        <v>0</v>
      </c>
      <c r="N201" s="141">
        <f t="shared" ref="N201:P201" si="174">N$121 * N141</f>
        <v>1.3553384914244866</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375</v>
      </c>
      <c r="G202" t="s">
        <v>271</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376</v>
      </c>
      <c r="G203" s="91" t="s">
        <v>271</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620</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189</v>
      </c>
      <c r="G206" s="90" t="s">
        <v>271</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191</v>
      </c>
      <c r="G207" t="s">
        <v>271</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192</v>
      </c>
      <c r="G208" t="s">
        <v>271</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v>
      </c>
      <c r="Q208" s="141">
        <f t="shared" ref="Q208" si="187">Q$121 * Q148</f>
        <v>0</v>
      </c>
      <c r="R208" s="114"/>
      <c r="S208" s="114"/>
      <c r="T208" s="114"/>
      <c r="U208" s="114"/>
      <c r="V208" s="114"/>
      <c r="W208" s="114"/>
      <c r="X208" s="114"/>
      <c r="Y208" s="114"/>
    </row>
    <row r="209" spans="3:27" x14ac:dyDescent="0.25">
      <c r="C209" s="100"/>
      <c r="D209"/>
      <c r="F209" t="s">
        <v>193</v>
      </c>
      <c r="G209" t="s">
        <v>271</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194</v>
      </c>
      <c r="G210" t="s">
        <v>271</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0.55435817870571547</v>
      </c>
      <c r="Q210" s="141">
        <f t="shared" ref="Q210" si="195">Q$121 * Q150</f>
        <v>0</v>
      </c>
      <c r="R210" s="114"/>
      <c r="S210" s="114"/>
      <c r="T210" s="114"/>
      <c r="U210" s="114"/>
      <c r="V210" s="114"/>
      <c r="W210" s="114"/>
      <c r="X210" s="114"/>
      <c r="Y210" s="114"/>
    </row>
    <row r="211" spans="3:27" x14ac:dyDescent="0.25">
      <c r="C211" s="100"/>
      <c r="D211"/>
      <c r="F211" t="s">
        <v>195</v>
      </c>
      <c r="G211" t="s">
        <v>271</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0.71025731714978479</v>
      </c>
      <c r="Q211" s="141">
        <f t="shared" ref="Q211" si="199">Q$121 * Q151</f>
        <v>0</v>
      </c>
      <c r="R211" s="114"/>
      <c r="S211" s="114"/>
      <c r="T211" s="114"/>
      <c r="U211" s="114"/>
      <c r="V211" s="114"/>
      <c r="W211" s="114"/>
      <c r="X211" s="114"/>
      <c r="Y211" s="114"/>
    </row>
    <row r="212" spans="3:27" x14ac:dyDescent="0.25">
      <c r="C212" s="100"/>
      <c r="D212"/>
      <c r="F212" t="s">
        <v>196</v>
      </c>
      <c r="G212" t="s">
        <v>271</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v>
      </c>
      <c r="Q212" s="141">
        <f t="shared" ref="Q212" si="203">Q$121 * Q152</f>
        <v>0</v>
      </c>
      <c r="R212" s="114"/>
      <c r="S212" s="114"/>
      <c r="T212" s="114"/>
      <c r="U212" s="114"/>
      <c r="V212" s="114"/>
      <c r="W212" s="114"/>
      <c r="X212" s="114"/>
      <c r="Y212" s="114"/>
    </row>
    <row r="213" spans="3:27" x14ac:dyDescent="0.25">
      <c r="C213" s="100"/>
      <c r="D213"/>
      <c r="F213" t="s">
        <v>197</v>
      </c>
      <c r="G213" t="s">
        <v>271</v>
      </c>
      <c r="J213" s="141">
        <f t="shared" ref="J213:K213" si="204">J$121 * J153</f>
        <v>0</v>
      </c>
      <c r="K213" s="141">
        <f t="shared" si="204"/>
        <v>0</v>
      </c>
      <c r="L213" s="141">
        <f t="shared" ref="L213:M213" si="205">L$121 * L153</f>
        <v>0</v>
      </c>
      <c r="M213" s="141">
        <f t="shared" si="205"/>
        <v>0</v>
      </c>
      <c r="N213" s="141">
        <f t="shared" ref="N213:P213" si="206">N$121 * N153</f>
        <v>0.52895242699118961</v>
      </c>
      <c r="O213" s="141">
        <f t="shared" si="206"/>
        <v>2.4897490251523982</v>
      </c>
      <c r="P213" s="141">
        <f t="shared" si="206"/>
        <v>2.4444375007482835</v>
      </c>
      <c r="Q213" s="141">
        <f t="shared" ref="Q213" si="207">Q$121 * Q153</f>
        <v>0</v>
      </c>
      <c r="R213" s="114"/>
      <c r="S213" s="114"/>
      <c r="T213" s="114"/>
      <c r="U213" s="114"/>
      <c r="V213" s="114"/>
      <c r="W213" s="114"/>
      <c r="X213" s="114"/>
      <c r="Y213" s="114"/>
    </row>
    <row r="214" spans="3:27" x14ac:dyDescent="0.25">
      <c r="C214" s="100"/>
      <c r="D214"/>
      <c r="F214" t="s">
        <v>198</v>
      </c>
      <c r="G214" t="s">
        <v>271</v>
      </c>
      <c r="J214" s="141">
        <f t="shared" ref="J214:K214" si="208">J$121 * J154</f>
        <v>0</v>
      </c>
      <c r="K214" s="141">
        <f t="shared" si="208"/>
        <v>0</v>
      </c>
      <c r="L214" s="141">
        <f t="shared" ref="L214:M214" si="209">L$121 * L154</f>
        <v>0</v>
      </c>
      <c r="M214" s="141">
        <f t="shared" si="209"/>
        <v>0</v>
      </c>
      <c r="N214" s="141">
        <f t="shared" ref="N214:P214" si="210">N$121 * N154</f>
        <v>0.66470361207947271</v>
      </c>
      <c r="O214" s="141">
        <f t="shared" si="210"/>
        <v>0.6257444283236876</v>
      </c>
      <c r="P214" s="141">
        <f t="shared" si="210"/>
        <v>0</v>
      </c>
      <c r="Q214" s="141">
        <f t="shared" ref="Q214" si="211">Q$121 * Q154</f>
        <v>0</v>
      </c>
      <c r="R214" s="114"/>
      <c r="S214" s="114"/>
      <c r="T214" s="114"/>
      <c r="U214" s="114"/>
      <c r="V214" s="114"/>
      <c r="W214" s="114"/>
      <c r="X214" s="114"/>
      <c r="Y214" s="114"/>
    </row>
    <row r="215" spans="3:27" x14ac:dyDescent="0.25">
      <c r="C215" s="100"/>
      <c r="D215"/>
      <c r="F215" t="s">
        <v>199</v>
      </c>
      <c r="G215" t="s">
        <v>271</v>
      </c>
      <c r="J215" s="141">
        <f t="shared" ref="J215:K215" si="212">J$121 * J155</f>
        <v>0</v>
      </c>
      <c r="K215" s="141">
        <f t="shared" si="212"/>
        <v>0</v>
      </c>
      <c r="L215" s="141">
        <f t="shared" ref="L215:M215" si="213">L$121 * L155</f>
        <v>0</v>
      </c>
      <c r="M215" s="141">
        <f t="shared" si="213"/>
        <v>0</v>
      </c>
      <c r="N215" s="141">
        <f t="shared" ref="N215:P215" si="214">N$121 * N155</f>
        <v>1.015821134430261</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375</v>
      </c>
      <c r="G216" t="s">
        <v>271</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376</v>
      </c>
      <c r="G217" s="91" t="s">
        <v>271</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154</v>
      </c>
      <c r="J220" s="101"/>
      <c r="K220" s="101"/>
      <c r="L220" s="101"/>
      <c r="M220" s="101"/>
      <c r="N220" s="101"/>
      <c r="O220" s="101"/>
      <c r="P220" s="101"/>
      <c r="Q220" s="101"/>
      <c r="R220" s="101"/>
      <c r="S220" s="101"/>
      <c r="T220" s="101"/>
      <c r="U220" s="101"/>
      <c r="V220" s="101"/>
      <c r="W220" s="101"/>
      <c r="X220" s="101"/>
      <c r="Y220" s="101"/>
      <c r="AA220" t="s">
        <v>704</v>
      </c>
    </row>
    <row r="221" spans="3:27" x14ac:dyDescent="0.25">
      <c r="C221" s="100"/>
      <c r="D221"/>
      <c r="E221" s="60" t="s">
        <v>619</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189</v>
      </c>
      <c r="G222" s="90" t="s">
        <v>271</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191</v>
      </c>
      <c r="G223" t="s">
        <v>271</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192</v>
      </c>
      <c r="G224" t="s">
        <v>271</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v>
      </c>
      <c r="Q224" s="141">
        <f t="shared" ref="Q224" si="219">Q$122 * Q164</f>
        <v>0</v>
      </c>
      <c r="R224" s="114"/>
      <c r="S224" s="114"/>
      <c r="T224" s="114"/>
      <c r="U224" s="114"/>
      <c r="V224" s="114"/>
      <c r="W224" s="114"/>
      <c r="X224" s="114"/>
      <c r="Y224" s="114"/>
    </row>
    <row r="225" spans="3:25" x14ac:dyDescent="0.25">
      <c r="C225" s="100"/>
      <c r="D225"/>
      <c r="F225" t="s">
        <v>193</v>
      </c>
      <c r="G225" t="s">
        <v>271</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194</v>
      </c>
      <c r="G226" t="s">
        <v>271</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0.73964101766521417</v>
      </c>
      <c r="Q226" s="141">
        <f t="shared" ref="Q226" si="227">Q$122 * Q166</f>
        <v>0</v>
      </c>
      <c r="R226" s="114"/>
      <c r="S226" s="114"/>
      <c r="T226" s="114"/>
      <c r="U226" s="114"/>
      <c r="V226" s="114"/>
      <c r="W226" s="114"/>
      <c r="X226" s="114"/>
      <c r="Y226" s="114"/>
    </row>
    <row r="227" spans="3:25" x14ac:dyDescent="0.25">
      <c r="C227" s="100"/>
      <c r="D227"/>
      <c r="F227" t="s">
        <v>195</v>
      </c>
      <c r="G227" t="s">
        <v>271</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0.94764624215945625</v>
      </c>
      <c r="Q227" s="141">
        <f t="shared" ref="Q227" si="231">Q$122 * Q167</f>
        <v>0</v>
      </c>
      <c r="R227" s="114"/>
      <c r="S227" s="114"/>
      <c r="T227" s="114"/>
      <c r="U227" s="114"/>
      <c r="V227" s="114"/>
      <c r="W227" s="114"/>
      <c r="X227" s="114"/>
      <c r="Y227" s="114"/>
    </row>
    <row r="228" spans="3:25" x14ac:dyDescent="0.25">
      <c r="C228" s="100"/>
      <c r="D228"/>
      <c r="F228" t="s">
        <v>196</v>
      </c>
      <c r="G228" t="s">
        <v>271</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v>
      </c>
      <c r="Q228" s="141">
        <f t="shared" ref="Q228" si="235">Q$122 * Q168</f>
        <v>0</v>
      </c>
      <c r="R228" s="114"/>
      <c r="S228" s="114"/>
      <c r="T228" s="114"/>
      <c r="U228" s="114"/>
      <c r="V228" s="114"/>
      <c r="W228" s="114"/>
      <c r="X228" s="114"/>
      <c r="Y228" s="114"/>
    </row>
    <row r="229" spans="3:25" x14ac:dyDescent="0.25">
      <c r="C229" s="100"/>
      <c r="D229"/>
      <c r="F229" t="s">
        <v>197</v>
      </c>
      <c r="G229" t="s">
        <v>271</v>
      </c>
      <c r="J229" s="141">
        <f t="shared" ref="J229:K229" si="236">J$122 * J169</f>
        <v>0</v>
      </c>
      <c r="K229" s="141">
        <f t="shared" si="236"/>
        <v>0</v>
      </c>
      <c r="L229" s="141">
        <f t="shared" ref="L229:M229" si="237">L$122 * L169</f>
        <v>0</v>
      </c>
      <c r="M229" s="141">
        <f t="shared" si="237"/>
        <v>0</v>
      </c>
      <c r="N229" s="141">
        <f t="shared" ref="N229:P229" si="238">N$122 * N169</f>
        <v>0.70574391507974465</v>
      </c>
      <c r="O229" s="141">
        <f t="shared" si="238"/>
        <v>3.3218965164258498</v>
      </c>
      <c r="P229" s="141">
        <f t="shared" si="238"/>
        <v>3.2614405453414701</v>
      </c>
      <c r="Q229" s="141">
        <f t="shared" ref="Q229" si="239">Q$122 * Q169</f>
        <v>0</v>
      </c>
      <c r="R229" s="114"/>
      <c r="S229" s="114"/>
      <c r="T229" s="114"/>
      <c r="U229" s="114"/>
      <c r="V229" s="114"/>
      <c r="W229" s="114"/>
      <c r="X229" s="114"/>
      <c r="Y229" s="114"/>
    </row>
    <row r="230" spans="3:25" x14ac:dyDescent="0.25">
      <c r="C230" s="100"/>
      <c r="D230"/>
      <c r="F230" t="s">
        <v>198</v>
      </c>
      <c r="G230" t="s">
        <v>271</v>
      </c>
      <c r="J230" s="141">
        <f t="shared" ref="J230:K230" si="240">J$122 * J170</f>
        <v>0</v>
      </c>
      <c r="K230" s="141">
        <f t="shared" si="240"/>
        <v>0</v>
      </c>
      <c r="L230" s="141">
        <f t="shared" ref="L230:M230" si="241">L$122 * L170</f>
        <v>0</v>
      </c>
      <c r="M230" s="141">
        <f t="shared" si="241"/>
        <v>0</v>
      </c>
      <c r="N230" s="141">
        <f t="shared" ref="N230:P230" si="242">N$122 * N170</f>
        <v>0.88686714649374032</v>
      </c>
      <c r="O230" s="141">
        <f t="shared" si="242"/>
        <v>0.8348866554909512</v>
      </c>
      <c r="P230" s="141">
        <f t="shared" si="242"/>
        <v>0</v>
      </c>
      <c r="Q230" s="141">
        <f t="shared" ref="Q230" si="243">Q$122 * Q170</f>
        <v>0</v>
      </c>
      <c r="R230" s="114"/>
      <c r="S230" s="114"/>
      <c r="T230" s="114"/>
      <c r="U230" s="114"/>
      <c r="V230" s="114"/>
      <c r="W230" s="114"/>
      <c r="X230" s="114"/>
      <c r="Y230" s="114"/>
    </row>
    <row r="231" spans="3:25" x14ac:dyDescent="0.25">
      <c r="C231" s="100"/>
      <c r="D231"/>
      <c r="F231" t="s">
        <v>199</v>
      </c>
      <c r="G231" t="s">
        <v>271</v>
      </c>
      <c r="J231" s="141">
        <f t="shared" ref="J231:K231" si="244">J$122 * J171</f>
        <v>0</v>
      </c>
      <c r="K231" s="141">
        <f t="shared" si="244"/>
        <v>0</v>
      </c>
      <c r="L231" s="141">
        <f t="shared" ref="L231:M231" si="245">L$122 * L171</f>
        <v>0</v>
      </c>
      <c r="M231" s="141">
        <f t="shared" si="245"/>
        <v>0</v>
      </c>
      <c r="N231" s="141">
        <f t="shared" ref="N231:P231" si="246">N$122 * N171</f>
        <v>1.3553384914244866</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375</v>
      </c>
      <c r="G232" t="s">
        <v>271</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376</v>
      </c>
      <c r="G233" s="91" t="s">
        <v>271</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620</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189</v>
      </c>
      <c r="G236" s="90" t="s">
        <v>271</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191</v>
      </c>
      <c r="G237" t="s">
        <v>271</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192</v>
      </c>
      <c r="G238" t="s">
        <v>271</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v>
      </c>
      <c r="Q238" s="141">
        <f t="shared" ref="Q238" si="259">Q$122 * Q178</f>
        <v>0</v>
      </c>
      <c r="R238" s="114"/>
      <c r="S238" s="114"/>
      <c r="T238" s="114"/>
      <c r="U238" s="114"/>
      <c r="V238" s="114"/>
      <c r="W238" s="114"/>
      <c r="X238" s="114"/>
      <c r="Y238" s="114"/>
    </row>
    <row r="239" spans="3:25" x14ac:dyDescent="0.25">
      <c r="C239" s="100"/>
      <c r="D239"/>
      <c r="F239" t="s">
        <v>193</v>
      </c>
      <c r="G239" t="s">
        <v>271</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194</v>
      </c>
      <c r="G240" t="s">
        <v>271</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0.55435817870571547</v>
      </c>
      <c r="Q240" s="141">
        <f t="shared" ref="Q240" si="267">Q$122 * Q180</f>
        <v>0</v>
      </c>
      <c r="R240" s="114"/>
      <c r="S240" s="114"/>
      <c r="T240" s="114"/>
      <c r="U240" s="114"/>
      <c r="V240" s="114"/>
      <c r="W240" s="114"/>
      <c r="X240" s="114"/>
      <c r="Y240" s="114"/>
    </row>
    <row r="241" spans="2:27" x14ac:dyDescent="0.25">
      <c r="C241" s="100"/>
      <c r="D241"/>
      <c r="F241" t="s">
        <v>195</v>
      </c>
      <c r="G241" t="s">
        <v>271</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0.71025731714978479</v>
      </c>
      <c r="Q241" s="141">
        <f t="shared" ref="Q241" si="271">Q$122 * Q181</f>
        <v>0</v>
      </c>
      <c r="R241" s="114"/>
      <c r="S241" s="114"/>
      <c r="T241" s="114"/>
      <c r="U241" s="114"/>
      <c r="V241" s="114"/>
      <c r="W241" s="114"/>
      <c r="X241" s="114"/>
      <c r="Y241" s="114"/>
    </row>
    <row r="242" spans="2:27" x14ac:dyDescent="0.25">
      <c r="C242" s="100"/>
      <c r="D242"/>
      <c r="F242" t="s">
        <v>196</v>
      </c>
      <c r="G242" t="s">
        <v>271</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v>
      </c>
      <c r="Q242" s="141">
        <f t="shared" ref="Q242" si="275">Q$122 * Q182</f>
        <v>0</v>
      </c>
      <c r="R242" s="114"/>
      <c r="S242" s="114"/>
      <c r="T242" s="114"/>
      <c r="U242" s="114"/>
      <c r="V242" s="114"/>
      <c r="W242" s="114"/>
      <c r="X242" s="114"/>
      <c r="Y242" s="114"/>
    </row>
    <row r="243" spans="2:27" x14ac:dyDescent="0.25">
      <c r="C243" s="100"/>
      <c r="D243"/>
      <c r="F243" t="s">
        <v>197</v>
      </c>
      <c r="G243" t="s">
        <v>271</v>
      </c>
      <c r="J243" s="141">
        <f t="shared" ref="J243:K243" si="276">J$122 * J183</f>
        <v>0</v>
      </c>
      <c r="K243" s="141">
        <f t="shared" si="276"/>
        <v>0</v>
      </c>
      <c r="L243" s="141">
        <f t="shared" ref="L243:M243" si="277">L$122 * L183</f>
        <v>0</v>
      </c>
      <c r="M243" s="141">
        <f t="shared" si="277"/>
        <v>0</v>
      </c>
      <c r="N243" s="141">
        <f t="shared" ref="N243:P243" si="278">N$122 * N183</f>
        <v>0.52895242699118961</v>
      </c>
      <c r="O243" s="141">
        <f t="shared" si="278"/>
        <v>2.4897490251523982</v>
      </c>
      <c r="P243" s="141">
        <f t="shared" si="278"/>
        <v>2.4444375007482835</v>
      </c>
      <c r="Q243" s="141">
        <f t="shared" ref="Q243" si="279">Q$122 * Q183</f>
        <v>0</v>
      </c>
      <c r="R243" s="114"/>
      <c r="S243" s="114"/>
      <c r="T243" s="114"/>
      <c r="U243" s="114"/>
      <c r="V243" s="114"/>
      <c r="W243" s="114"/>
      <c r="X243" s="114"/>
      <c r="Y243" s="114"/>
    </row>
    <row r="244" spans="2:27" x14ac:dyDescent="0.25">
      <c r="C244" s="100"/>
      <c r="D244"/>
      <c r="F244" t="s">
        <v>198</v>
      </c>
      <c r="G244" t="s">
        <v>271</v>
      </c>
      <c r="J244" s="141">
        <f t="shared" ref="J244:K244" si="280">J$122 * J184</f>
        <v>0</v>
      </c>
      <c r="K244" s="141">
        <f t="shared" si="280"/>
        <v>0</v>
      </c>
      <c r="L244" s="141">
        <f t="shared" ref="L244:M244" si="281">L$122 * L184</f>
        <v>0</v>
      </c>
      <c r="M244" s="141">
        <f t="shared" si="281"/>
        <v>0</v>
      </c>
      <c r="N244" s="141">
        <f t="shared" ref="N244:P244" si="282">N$122 * N184</f>
        <v>0.66470361207947271</v>
      </c>
      <c r="O244" s="141">
        <f t="shared" si="282"/>
        <v>0.6257444283236876</v>
      </c>
      <c r="P244" s="141">
        <f t="shared" si="282"/>
        <v>0</v>
      </c>
      <c r="Q244" s="141">
        <f t="shared" ref="Q244" si="283">Q$122 * Q184</f>
        <v>0</v>
      </c>
      <c r="R244" s="114"/>
      <c r="S244" s="114"/>
      <c r="T244" s="114"/>
      <c r="U244" s="114"/>
      <c r="V244" s="114"/>
      <c r="W244" s="114"/>
      <c r="X244" s="114"/>
      <c r="Y244" s="114"/>
    </row>
    <row r="245" spans="2:27" x14ac:dyDescent="0.25">
      <c r="C245" s="100"/>
      <c r="D245"/>
      <c r="F245" t="s">
        <v>199</v>
      </c>
      <c r="G245" t="s">
        <v>271</v>
      </c>
      <c r="J245" s="141">
        <f t="shared" ref="J245:K245" si="284">J$122 * J185</f>
        <v>0</v>
      </c>
      <c r="K245" s="141">
        <f t="shared" si="284"/>
        <v>0</v>
      </c>
      <c r="L245" s="141">
        <f t="shared" ref="L245:M245" si="285">L$122 * L185</f>
        <v>0</v>
      </c>
      <c r="M245" s="141">
        <f t="shared" si="285"/>
        <v>0</v>
      </c>
      <c r="N245" s="141">
        <f t="shared" ref="N245:P245" si="286">N$122 * N185</f>
        <v>1.015821134430261</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375</v>
      </c>
      <c r="G246" t="s">
        <v>271</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376</v>
      </c>
      <c r="G247" s="91" t="s">
        <v>271</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705</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706</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707</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708</v>
      </c>
      <c r="G256" t="s">
        <v>271</v>
      </c>
      <c r="I256" t="s">
        <v>154</v>
      </c>
      <c r="J256" s="174">
        <f t="shared" ref="J256:K256" si="288">SUM(J192:J203,J206:J217)</f>
        <v>0</v>
      </c>
      <c r="K256" s="174">
        <f t="shared" si="288"/>
        <v>0</v>
      </c>
      <c r="L256" s="174">
        <f t="shared" ref="L256:M256" si="289">SUM(L192:L203,L206:L217)</f>
        <v>0</v>
      </c>
      <c r="M256" s="174">
        <f t="shared" si="289"/>
        <v>0</v>
      </c>
      <c r="N256" s="174">
        <f t="shared" ref="N256:P256" si="290">SUM(N192:N203,N206:N217)</f>
        <v>5.157426726498894</v>
      </c>
      <c r="O256" s="174">
        <f t="shared" si="290"/>
        <v>7.2722766253928866</v>
      </c>
      <c r="P256" s="174">
        <f t="shared" si="290"/>
        <v>8.657780801769924</v>
      </c>
      <c r="Q256" s="174">
        <f t="shared" ref="Q256" si="291">SUM(Q192:Q203,Q206:Q217)</f>
        <v>0</v>
      </c>
      <c r="R256" s="114"/>
      <c r="S256" s="114"/>
      <c r="T256" s="114"/>
      <c r="U256" s="114"/>
      <c r="V256" s="114"/>
      <c r="W256" s="114"/>
      <c r="X256" s="114"/>
      <c r="Y256" s="114"/>
      <c r="AA256" t="s">
        <v>709</v>
      </c>
    </row>
    <row r="257" spans="3:27" x14ac:dyDescent="0.25">
      <c r="E257" t="s">
        <v>710</v>
      </c>
      <c r="G257" t="s">
        <v>271</v>
      </c>
      <c r="I257" t="s">
        <v>154</v>
      </c>
      <c r="J257" s="164">
        <f t="shared" ref="J257:K257" si="292">SUM(J222:J233,J236:J247)</f>
        <v>0</v>
      </c>
      <c r="K257" s="164">
        <f t="shared" si="292"/>
        <v>0</v>
      </c>
      <c r="L257" s="164">
        <f t="shared" ref="L257:M257" si="293">SUM(L222:L233,L236:L247)</f>
        <v>0</v>
      </c>
      <c r="M257" s="164">
        <f t="shared" si="293"/>
        <v>0</v>
      </c>
      <c r="N257" s="164">
        <f t="shared" ref="N257:P257" si="294">SUM(N222:N233,N236:N247)</f>
        <v>5.157426726498894</v>
      </c>
      <c r="O257" s="164">
        <f t="shared" si="294"/>
        <v>7.2722766253928866</v>
      </c>
      <c r="P257" s="164">
        <f t="shared" si="294"/>
        <v>8.657780801769924</v>
      </c>
      <c r="Q257" s="164">
        <f t="shared" ref="Q257" si="295">SUM(Q222:Q233,Q236:Q247)</f>
        <v>0</v>
      </c>
      <c r="R257" s="114"/>
      <c r="S257" s="114"/>
      <c r="T257" s="114"/>
      <c r="U257" s="114"/>
      <c r="V257" s="114"/>
      <c r="W257" s="114"/>
      <c r="X257" s="114"/>
      <c r="Y257" s="114"/>
      <c r="AA257" t="s">
        <v>709</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154</v>
      </c>
      <c r="J260" s="101"/>
      <c r="K260" s="101"/>
      <c r="L260" s="101"/>
      <c r="M260" s="101"/>
      <c r="N260" s="101"/>
      <c r="O260" s="101"/>
      <c r="P260" s="101"/>
      <c r="Q260" s="101"/>
      <c r="R260" s="101"/>
      <c r="S260" s="101"/>
      <c r="T260" s="101"/>
      <c r="U260" s="101"/>
      <c r="V260" s="101"/>
      <c r="W260" s="101"/>
      <c r="X260" s="101"/>
      <c r="Y260" s="101"/>
      <c r="AA260" t="s">
        <v>711</v>
      </c>
    </row>
    <row r="261" spans="3:27" x14ac:dyDescent="0.25">
      <c r="C261" s="100"/>
      <c r="D261"/>
      <c r="E261" s="60" t="s">
        <v>619</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189</v>
      </c>
      <c r="G262" s="90" t="s">
        <v>271</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191</v>
      </c>
      <c r="G263" t="s">
        <v>271</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192</v>
      </c>
      <c r="G264" t="s">
        <v>271</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193</v>
      </c>
      <c r="G265" t="s">
        <v>271</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194</v>
      </c>
      <c r="G266" t="s">
        <v>271</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195</v>
      </c>
      <c r="G267" t="s">
        <v>271</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196</v>
      </c>
      <c r="G268" t="s">
        <v>271</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197</v>
      </c>
      <c r="G269" t="s">
        <v>271</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198</v>
      </c>
      <c r="G270" t="s">
        <v>271</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199</v>
      </c>
      <c r="G271" t="s">
        <v>271</v>
      </c>
      <c r="J271" s="164">
        <f t="shared" ref="J271:K271" si="324">J$123 * J141</f>
        <v>1.3553384914244866</v>
      </c>
      <c r="K271" s="164">
        <f t="shared" si="324"/>
        <v>0</v>
      </c>
      <c r="L271" s="164">
        <f t="shared" ref="L271:M271" si="325">L$123 * L141</f>
        <v>1.3553384914244866</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375</v>
      </c>
      <c r="G272" t="s">
        <v>271</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376</v>
      </c>
      <c r="G273" s="91" t="s">
        <v>271</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712</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189</v>
      </c>
      <c r="G276" s="90" t="s">
        <v>271</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191</v>
      </c>
      <c r="G277" t="s">
        <v>271</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192</v>
      </c>
      <c r="G278" t="s">
        <v>271</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193</v>
      </c>
      <c r="G279" t="s">
        <v>271</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194</v>
      </c>
      <c r="G280" t="s">
        <v>271</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195</v>
      </c>
      <c r="G281" t="s">
        <v>271</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196</v>
      </c>
      <c r="G282" t="s">
        <v>271</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197</v>
      </c>
      <c r="G283" t="s">
        <v>271</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198</v>
      </c>
      <c r="G284" t="s">
        <v>271</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199</v>
      </c>
      <c r="G285" t="s">
        <v>271</v>
      </c>
      <c r="J285" s="164">
        <f t="shared" ref="J285:K285" si="364">J$123 * J155</f>
        <v>1.015821134430261</v>
      </c>
      <c r="K285" s="164">
        <f t="shared" si="364"/>
        <v>0</v>
      </c>
      <c r="L285" s="164">
        <f t="shared" ref="L285:M285" si="365">L$123 * L155</f>
        <v>1.015821134430261</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375</v>
      </c>
      <c r="G286" t="s">
        <v>271</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376</v>
      </c>
      <c r="G287" s="91" t="s">
        <v>271</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231</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232</v>
      </c>
      <c r="G291" s="6" t="s">
        <v>55</v>
      </c>
      <c r="H291" s="250">
        <f t="array" ref="H291">SUM(IF(ISERROR(H51:Y287), 1))</f>
        <v>0</v>
      </c>
    </row>
    <row r="293" spans="2:27" x14ac:dyDescent="0.25">
      <c r="E293" t="s">
        <v>713</v>
      </c>
      <c r="G293" s="6" t="s">
        <v>55</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239</v>
      </c>
      <c r="G295" s="6" t="s">
        <v>55</v>
      </c>
      <c r="H295" s="108">
        <f>H291 + H293</f>
        <v>0</v>
      </c>
    </row>
    <row r="297" spans="2:27" x14ac:dyDescent="0.25">
      <c r="B297" s="70" t="s">
        <v>106</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659</v>
      </c>
      <c r="D9"/>
    </row>
    <row r="10" spans="1:27" x14ac:dyDescent="0.25">
      <c r="C10" s="71" t="s">
        <v>660</v>
      </c>
      <c r="D10"/>
      <c r="E10"/>
    </row>
    <row r="11" spans="1:27" x14ac:dyDescent="0.25">
      <c r="C11" s="129" t="s">
        <v>661</v>
      </c>
    </row>
    <row r="13" spans="1:27" x14ac:dyDescent="0.25">
      <c r="B13" s="70" t="s">
        <v>662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663</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285</v>
      </c>
    </row>
    <row r="20" spans="3:27" x14ac:dyDescent="0.25">
      <c r="D20" s="71" t="s">
        <v>664</v>
      </c>
      <c r="E20"/>
    </row>
    <row r="21" spans="3:27" x14ac:dyDescent="0.25">
      <c r="C21" s="100"/>
      <c r="E21" s="90" t="s">
        <v>189</v>
      </c>
      <c r="F21" s="90"/>
      <c r="G21" s="90" t="s">
        <v>665</v>
      </c>
      <c r="H21" s="112"/>
    </row>
    <row r="22" spans="3:27" x14ac:dyDescent="0.25">
      <c r="C22" s="100"/>
      <c r="E22" t="s">
        <v>191</v>
      </c>
      <c r="G22" t="s">
        <v>665</v>
      </c>
      <c r="H22" s="163">
        <f t="array" ref="H22:H30">TRANSPOSE('Inputs by network level'!K21:S21)</f>
        <v>0.17778534417370662</v>
      </c>
    </row>
    <row r="23" spans="3:27" x14ac:dyDescent="0.25">
      <c r="C23" s="100"/>
      <c r="E23" t="s">
        <v>192</v>
      </c>
      <c r="G23" t="s">
        <v>665</v>
      </c>
      <c r="H23" s="163">
        <v>0</v>
      </c>
    </row>
    <row r="24" spans="3:27" x14ac:dyDescent="0.25">
      <c r="C24" s="100"/>
      <c r="E24" t="s">
        <v>193</v>
      </c>
      <c r="G24" t="s">
        <v>665</v>
      </c>
      <c r="H24" s="163">
        <v>0</v>
      </c>
    </row>
    <row r="25" spans="3:27" x14ac:dyDescent="0.25">
      <c r="C25" s="100"/>
      <c r="E25" t="s">
        <v>194</v>
      </c>
      <c r="G25" t="s">
        <v>665</v>
      </c>
      <c r="H25" s="163">
        <v>0.17778534417370662</v>
      </c>
    </row>
    <row r="26" spans="3:27" x14ac:dyDescent="0.25">
      <c r="C26" s="100"/>
      <c r="E26" t="s">
        <v>195</v>
      </c>
      <c r="G26" t="s">
        <v>665</v>
      </c>
      <c r="H26" s="163">
        <v>0.14192401313923816</v>
      </c>
    </row>
    <row r="27" spans="3:27" x14ac:dyDescent="0.25">
      <c r="C27" s="100"/>
      <c r="E27" t="s">
        <v>196</v>
      </c>
      <c r="G27" t="s">
        <v>665</v>
      </c>
      <c r="H27" s="163">
        <v>0</v>
      </c>
    </row>
    <row r="28" spans="3:27" x14ac:dyDescent="0.25">
      <c r="C28" s="100"/>
      <c r="E28" t="s">
        <v>197</v>
      </c>
      <c r="G28" t="s">
        <v>665</v>
      </c>
      <c r="H28" s="163">
        <v>0.14192401313923816</v>
      </c>
    </row>
    <row r="29" spans="3:27" x14ac:dyDescent="0.25">
      <c r="C29" s="100"/>
      <c r="E29" t="s">
        <v>198</v>
      </c>
      <c r="G29" t="s">
        <v>665</v>
      </c>
      <c r="H29" s="163">
        <v>0.14192401313923816</v>
      </c>
    </row>
    <row r="30" spans="3:27" x14ac:dyDescent="0.25">
      <c r="C30" s="100"/>
      <c r="E30" t="s">
        <v>199</v>
      </c>
      <c r="G30" t="s">
        <v>665</v>
      </c>
      <c r="H30" s="163">
        <v>0.14192401313923816</v>
      </c>
    </row>
    <row r="31" spans="3:27" x14ac:dyDescent="0.25">
      <c r="C31" s="100"/>
      <c r="E31" t="s">
        <v>375</v>
      </c>
      <c r="G31" t="s">
        <v>665</v>
      </c>
      <c r="H31" s="114"/>
    </row>
    <row r="32" spans="3:27" x14ac:dyDescent="0.25">
      <c r="C32" s="100"/>
      <c r="E32" s="91" t="s">
        <v>376</v>
      </c>
      <c r="F32" s="91"/>
      <c r="G32" s="91" t="s">
        <v>665</v>
      </c>
      <c r="H32" s="116"/>
    </row>
    <row r="33" spans="3:8" x14ac:dyDescent="0.25">
      <c r="C33" s="100"/>
      <c r="H33" s="101"/>
    </row>
    <row r="34" spans="3:8" x14ac:dyDescent="0.25">
      <c r="D34" s="100" t="s">
        <v>393</v>
      </c>
      <c r="H34" s="101"/>
    </row>
    <row r="35" spans="3:8" x14ac:dyDescent="0.25">
      <c r="C35" s="100"/>
      <c r="E35" s="90" t="s">
        <v>189</v>
      </c>
      <c r="F35" s="90"/>
      <c r="G35" s="93" t="s">
        <v>283</v>
      </c>
      <c r="H35" s="167">
        <f t="array" ref="H35:H44">TRANSPOSE('Load &amp; loss characteristics'!J29:S29)</f>
        <v>1</v>
      </c>
    </row>
    <row r="36" spans="3:8" x14ac:dyDescent="0.25">
      <c r="C36" s="100"/>
      <c r="E36" t="s">
        <v>191</v>
      </c>
      <c r="G36" s="89" t="s">
        <v>283</v>
      </c>
      <c r="H36" s="163">
        <v>1</v>
      </c>
    </row>
    <row r="37" spans="3:8" x14ac:dyDescent="0.25">
      <c r="C37" s="100"/>
      <c r="E37" t="s">
        <v>192</v>
      </c>
      <c r="G37" s="89" t="s">
        <v>283</v>
      </c>
      <c r="H37" s="163">
        <v>1</v>
      </c>
    </row>
    <row r="38" spans="3:8" x14ac:dyDescent="0.25">
      <c r="C38" s="100"/>
      <c r="E38" t="s">
        <v>193</v>
      </c>
      <c r="G38" s="89" t="s">
        <v>283</v>
      </c>
      <c r="H38" s="163">
        <v>1</v>
      </c>
    </row>
    <row r="39" spans="3:8" x14ac:dyDescent="0.25">
      <c r="C39" s="100"/>
      <c r="E39" t="s">
        <v>194</v>
      </c>
      <c r="G39" s="89" t="s">
        <v>283</v>
      </c>
      <c r="H39" s="163">
        <v>1.0029999999999999</v>
      </c>
    </row>
    <row r="40" spans="3:8" x14ac:dyDescent="0.25">
      <c r="C40" s="100"/>
      <c r="E40" t="s">
        <v>195</v>
      </c>
      <c r="G40" s="89" t="s">
        <v>283</v>
      </c>
      <c r="H40" s="163">
        <v>1.0129999999999999</v>
      </c>
    </row>
    <row r="41" spans="3:8" x14ac:dyDescent="0.25">
      <c r="C41" s="100"/>
      <c r="E41" t="s">
        <v>196</v>
      </c>
      <c r="G41" s="89" t="s">
        <v>283</v>
      </c>
      <c r="H41" s="163">
        <v>1.0129999999999999</v>
      </c>
    </row>
    <row r="42" spans="3:8" x14ac:dyDescent="0.25">
      <c r="C42" s="100"/>
      <c r="E42" t="s">
        <v>197</v>
      </c>
      <c r="G42" s="89" t="s">
        <v>283</v>
      </c>
      <c r="H42" s="163">
        <v>1.0249999999999999</v>
      </c>
    </row>
    <row r="43" spans="3:8" x14ac:dyDescent="0.25">
      <c r="C43" s="100"/>
      <c r="E43" t="s">
        <v>198</v>
      </c>
      <c r="G43" s="89" t="s">
        <v>283</v>
      </c>
      <c r="H43" s="163">
        <v>1.044</v>
      </c>
    </row>
    <row r="44" spans="3:8" x14ac:dyDescent="0.25">
      <c r="C44" s="100"/>
      <c r="E44" t="s">
        <v>199</v>
      </c>
      <c r="G44" s="89" t="s">
        <v>283</v>
      </c>
      <c r="H44" s="163">
        <v>1.109</v>
      </c>
    </row>
    <row r="45" spans="3:8" x14ac:dyDescent="0.25">
      <c r="C45" s="100"/>
      <c r="E45" t="s">
        <v>375</v>
      </c>
      <c r="G45" s="89" t="s">
        <v>283</v>
      </c>
      <c r="H45" s="114"/>
    </row>
    <row r="46" spans="3:8" x14ac:dyDescent="0.25">
      <c r="C46" s="100"/>
      <c r="E46" s="91" t="s">
        <v>376</v>
      </c>
      <c r="F46" s="91"/>
      <c r="G46" s="96" t="s">
        <v>283</v>
      </c>
      <c r="H46" s="116"/>
    </row>
    <row r="47" spans="3:8" x14ac:dyDescent="0.25">
      <c r="C47" s="100"/>
      <c r="H47" s="101"/>
    </row>
    <row r="48" spans="3:8" x14ac:dyDescent="0.25">
      <c r="D48" s="60" t="s">
        <v>666</v>
      </c>
      <c r="H48" s="101"/>
    </row>
    <row r="49" spans="3:8" x14ac:dyDescent="0.25">
      <c r="C49" s="100"/>
      <c r="E49" s="90" t="s">
        <v>189</v>
      </c>
      <c r="F49" s="90"/>
      <c r="G49" s="90" t="s">
        <v>583</v>
      </c>
      <c r="H49" s="112"/>
    </row>
    <row r="50" spans="3:8" x14ac:dyDescent="0.25">
      <c r="C50" s="100"/>
      <c r="E50" t="s">
        <v>191</v>
      </c>
      <c r="G50" t="s">
        <v>583</v>
      </c>
      <c r="H50" s="114"/>
    </row>
    <row r="51" spans="3:8" x14ac:dyDescent="0.25">
      <c r="C51" s="100"/>
      <c r="E51" t="s">
        <v>192</v>
      </c>
      <c r="G51" t="s">
        <v>583</v>
      </c>
      <c r="H51" s="163">
        <f t="array" ref="H51:H58">TRANSPOSE('Unit costs'!L114:S114)</f>
        <v>0</v>
      </c>
    </row>
    <row r="52" spans="3:8" x14ac:dyDescent="0.25">
      <c r="C52" s="100"/>
      <c r="E52" t="s">
        <v>193</v>
      </c>
      <c r="G52" t="s">
        <v>583</v>
      </c>
      <c r="H52" s="163">
        <v>0</v>
      </c>
    </row>
    <row r="53" spans="3:8" x14ac:dyDescent="0.25">
      <c r="C53" s="100"/>
      <c r="E53" t="s">
        <v>194</v>
      </c>
      <c r="G53" t="s">
        <v>583</v>
      </c>
      <c r="H53" s="163">
        <v>17.53395778818669</v>
      </c>
    </row>
    <row r="54" spans="3:8" x14ac:dyDescent="0.25">
      <c r="C54" s="100"/>
      <c r="E54" t="s">
        <v>195</v>
      </c>
      <c r="G54" t="s">
        <v>583</v>
      </c>
      <c r="H54" s="163">
        <v>4.5377829813989683</v>
      </c>
    </row>
    <row r="55" spans="3:8" x14ac:dyDescent="0.25">
      <c r="C55" s="100"/>
      <c r="E55" t="s">
        <v>196</v>
      </c>
      <c r="G55" t="s">
        <v>583</v>
      </c>
      <c r="H55" s="163">
        <v>0</v>
      </c>
    </row>
    <row r="56" spans="3:8" x14ac:dyDescent="0.25">
      <c r="C56" s="100"/>
      <c r="E56" t="s">
        <v>197</v>
      </c>
      <c r="G56" t="s">
        <v>583</v>
      </c>
      <c r="H56" s="163">
        <v>19.752923245598893</v>
      </c>
    </row>
    <row r="57" spans="3:8" x14ac:dyDescent="0.25">
      <c r="C57" s="100"/>
      <c r="E57" t="s">
        <v>198</v>
      </c>
      <c r="G57" t="s">
        <v>583</v>
      </c>
      <c r="H57" s="163">
        <v>5.0564932260510931</v>
      </c>
    </row>
    <row r="58" spans="3:8" x14ac:dyDescent="0.25">
      <c r="C58" s="100"/>
      <c r="E58" t="s">
        <v>199</v>
      </c>
      <c r="G58" t="s">
        <v>583</v>
      </c>
      <c r="H58" s="163">
        <v>9.0347186326508098</v>
      </c>
    </row>
    <row r="59" spans="3:8" x14ac:dyDescent="0.25">
      <c r="C59" s="100"/>
      <c r="E59" t="s">
        <v>375</v>
      </c>
      <c r="G59" t="s">
        <v>583</v>
      </c>
      <c r="H59" s="114"/>
    </row>
    <row r="60" spans="3:8" x14ac:dyDescent="0.25">
      <c r="C60" s="100"/>
      <c r="E60" s="91" t="s">
        <v>376</v>
      </c>
      <c r="F60" s="91"/>
      <c r="G60" s="91" t="s">
        <v>583</v>
      </c>
      <c r="H60" s="116"/>
    </row>
    <row r="61" spans="3:8" x14ac:dyDescent="0.25">
      <c r="C61" s="100"/>
      <c r="H61" s="101"/>
    </row>
    <row r="62" spans="3:8" x14ac:dyDescent="0.25">
      <c r="C62" s="100"/>
      <c r="D62" s="60" t="s">
        <v>667</v>
      </c>
      <c r="E62"/>
      <c r="H62" s="101"/>
    </row>
    <row r="63" spans="3:8" x14ac:dyDescent="0.25">
      <c r="C63" s="100"/>
      <c r="E63" s="90" t="s">
        <v>189</v>
      </c>
      <c r="F63" s="90"/>
      <c r="G63" s="90" t="s">
        <v>583</v>
      </c>
      <c r="H63" s="167">
        <f t="array" ref="H63:H72">TRANSPOSE('Unit costs'!J115:S115)</f>
        <v>10.645221567407956</v>
      </c>
    </row>
    <row r="64" spans="3:8" x14ac:dyDescent="0.25">
      <c r="C64" s="100"/>
      <c r="E64" t="s">
        <v>191</v>
      </c>
      <c r="G64" t="s">
        <v>583</v>
      </c>
      <c r="H64" s="163">
        <v>0</v>
      </c>
    </row>
    <row r="65" spans="3:42" x14ac:dyDescent="0.25">
      <c r="C65" s="100"/>
      <c r="E65" t="s">
        <v>192</v>
      </c>
      <c r="G65" t="s">
        <v>583</v>
      </c>
      <c r="H65" s="163">
        <v>0</v>
      </c>
    </row>
    <row r="66" spans="3:42" x14ac:dyDescent="0.25">
      <c r="C66" s="100"/>
      <c r="E66" t="s">
        <v>193</v>
      </c>
      <c r="G66" t="s">
        <v>583</v>
      </c>
      <c r="H66" s="163">
        <v>0</v>
      </c>
    </row>
    <row r="67" spans="3:42" x14ac:dyDescent="0.25">
      <c r="C67" s="100"/>
      <c r="E67" t="s">
        <v>194</v>
      </c>
      <c r="G67" t="s">
        <v>583</v>
      </c>
      <c r="H67" s="163">
        <v>13.141635837943351</v>
      </c>
    </row>
    <row r="68" spans="3:42" x14ac:dyDescent="0.25">
      <c r="C68" s="100"/>
      <c r="E68" t="s">
        <v>195</v>
      </c>
      <c r="G68" t="s">
        <v>583</v>
      </c>
      <c r="H68" s="163">
        <v>3.4010513868888048</v>
      </c>
    </row>
    <row r="69" spans="3:42" x14ac:dyDescent="0.25">
      <c r="C69" s="100"/>
      <c r="E69" t="s">
        <v>196</v>
      </c>
      <c r="G69" t="s">
        <v>583</v>
      </c>
      <c r="H69" s="163">
        <v>0</v>
      </c>
    </row>
    <row r="70" spans="3:42" x14ac:dyDescent="0.25">
      <c r="C70" s="100"/>
      <c r="E70" t="s">
        <v>197</v>
      </c>
      <c r="G70" t="s">
        <v>583</v>
      </c>
      <c r="H70" s="163">
        <v>14.804742156012244</v>
      </c>
    </row>
    <row r="71" spans="3:42" x14ac:dyDescent="0.25">
      <c r="C71" s="100"/>
      <c r="E71" t="s">
        <v>198</v>
      </c>
      <c r="G71" t="s">
        <v>583</v>
      </c>
      <c r="H71" s="163">
        <v>3.7898227768382782</v>
      </c>
    </row>
    <row r="72" spans="3:42" x14ac:dyDescent="0.25">
      <c r="C72" s="100"/>
      <c r="E72" t="s">
        <v>199</v>
      </c>
      <c r="G72" t="s">
        <v>583</v>
      </c>
      <c r="H72" s="163">
        <v>6.7714878524785842</v>
      </c>
    </row>
    <row r="73" spans="3:42" x14ac:dyDescent="0.25">
      <c r="C73" s="100"/>
      <c r="E73" t="s">
        <v>375</v>
      </c>
      <c r="G73" t="s">
        <v>583</v>
      </c>
      <c r="H73" s="114"/>
    </row>
    <row r="74" spans="3:42" x14ac:dyDescent="0.25">
      <c r="C74" s="100"/>
      <c r="E74" s="91" t="s">
        <v>376</v>
      </c>
      <c r="F74" s="91"/>
      <c r="G74" s="91" t="s">
        <v>583</v>
      </c>
      <c r="H74" s="116"/>
    </row>
    <row r="75" spans="3:42" x14ac:dyDescent="0.25">
      <c r="C75" s="100"/>
      <c r="H75" s="92"/>
    </row>
    <row r="76" spans="3:42" x14ac:dyDescent="0.25">
      <c r="D76" s="100" t="s">
        <v>668</v>
      </c>
    </row>
    <row r="77" spans="3:42" x14ac:dyDescent="0.25">
      <c r="D77" s="71" t="s">
        <v>669</v>
      </c>
      <c r="E77" s="290"/>
    </row>
    <row r="78" spans="3:42" x14ac:dyDescent="0.25">
      <c r="C78" s="100"/>
      <c r="E78" t="s">
        <v>670</v>
      </c>
      <c r="G78" t="s">
        <v>671</v>
      </c>
      <c r="I78" t="s">
        <v>154</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223</v>
      </c>
    </row>
    <row r="79" spans="3:42" x14ac:dyDescent="0.25">
      <c r="C79" s="100"/>
    </row>
    <row r="80" spans="3:42" x14ac:dyDescent="0.25">
      <c r="D80" s="60" t="s">
        <v>120</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191</v>
      </c>
      <c r="F81" s="90"/>
      <c r="G81" s="90" t="s">
        <v>167</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192</v>
      </c>
      <c r="G82" t="s">
        <v>167</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193</v>
      </c>
      <c r="G83" t="s">
        <v>167</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194</v>
      </c>
      <c r="G84" t="s">
        <v>167</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195</v>
      </c>
      <c r="G85" t="s">
        <v>167</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196</v>
      </c>
      <c r="G86" t="s">
        <v>167</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197</v>
      </c>
      <c r="G87" t="s">
        <v>167</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198</v>
      </c>
      <c r="G88" t="s">
        <v>167</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199</v>
      </c>
      <c r="F89" s="91"/>
      <c r="G89" s="91" t="s">
        <v>167</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403</v>
      </c>
      <c r="E91" s="60"/>
      <c r="I91" t="s">
        <v>154</v>
      </c>
      <c r="AA91" t="s">
        <v>672</v>
      </c>
    </row>
    <row r="92" spans="3:42" x14ac:dyDescent="0.25">
      <c r="D92" s="71" t="s">
        <v>400</v>
      </c>
      <c r="E92"/>
      <c r="AA92" s="291"/>
    </row>
    <row r="93" spans="3:42" x14ac:dyDescent="0.25">
      <c r="D93"/>
      <c r="E93" s="90" t="s">
        <v>189</v>
      </c>
      <c r="F93" s="90"/>
      <c r="G93" s="93" t="s">
        <v>283</v>
      </c>
      <c r="H93" s="90"/>
      <c r="I93" s="90"/>
      <c r="J93" s="112"/>
      <c r="K93" s="112"/>
      <c r="L93" s="112"/>
      <c r="M93" s="112"/>
      <c r="N93" s="112"/>
      <c r="O93" s="112"/>
      <c r="P93" s="112"/>
      <c r="Q93" s="112"/>
      <c r="R93" s="167">
        <f t="array" ref="R93:Y102">TRANSPOSE('Load &amp; loss characteristics'!J172:S179)</f>
        <v>-1.109</v>
      </c>
      <c r="S93" s="167">
        <v>-1.044</v>
      </c>
      <c r="T93" s="167">
        <v>-1.109</v>
      </c>
      <c r="U93" s="167">
        <v>-1.109</v>
      </c>
      <c r="V93" s="167">
        <v>-1.044</v>
      </c>
      <c r="W93" s="167">
        <v>-1.044</v>
      </c>
      <c r="X93" s="167">
        <v>-1.0249999999999999</v>
      </c>
      <c r="Y93" s="167">
        <v>-1.0249999999999999</v>
      </c>
    </row>
    <row r="94" spans="3:42" x14ac:dyDescent="0.25">
      <c r="D94"/>
      <c r="E94" t="s">
        <v>191</v>
      </c>
      <c r="G94" s="89" t="s">
        <v>283</v>
      </c>
      <c r="J94" s="114"/>
      <c r="K94" s="114"/>
      <c r="L94" s="114"/>
      <c r="M94" s="114"/>
      <c r="N94" s="114"/>
      <c r="O94" s="114"/>
      <c r="P94" s="114"/>
      <c r="Q94" s="114"/>
      <c r="R94" s="163">
        <v>-1.109</v>
      </c>
      <c r="S94" s="163">
        <v>-1.044</v>
      </c>
      <c r="T94" s="163">
        <v>-1.109</v>
      </c>
      <c r="U94" s="163">
        <v>-1.109</v>
      </c>
      <c r="V94" s="163">
        <v>-1.044</v>
      </c>
      <c r="W94" s="163">
        <v>-1.044</v>
      </c>
      <c r="X94" s="163">
        <v>-1.0249999999999999</v>
      </c>
      <c r="Y94" s="163">
        <v>-1.0249999999999999</v>
      </c>
    </row>
    <row r="95" spans="3:42" x14ac:dyDescent="0.25">
      <c r="D95"/>
      <c r="E95" t="s">
        <v>192</v>
      </c>
      <c r="G95" s="89" t="s">
        <v>283</v>
      </c>
      <c r="J95" s="114"/>
      <c r="K95" s="114"/>
      <c r="L95" s="114"/>
      <c r="M95" s="114"/>
      <c r="N95" s="114"/>
      <c r="O95" s="114"/>
      <c r="P95" s="114"/>
      <c r="Q95" s="114"/>
      <c r="R95" s="163">
        <v>-1.109</v>
      </c>
      <c r="S95" s="163">
        <v>-1.044</v>
      </c>
      <c r="T95" s="163">
        <v>-1.109</v>
      </c>
      <c r="U95" s="163">
        <v>-1.109</v>
      </c>
      <c r="V95" s="163">
        <v>-1.044</v>
      </c>
      <c r="W95" s="163">
        <v>-1.044</v>
      </c>
      <c r="X95" s="163">
        <v>-1.0249999999999999</v>
      </c>
      <c r="Y95" s="163">
        <v>-1.0249999999999999</v>
      </c>
    </row>
    <row r="96" spans="3:42" x14ac:dyDescent="0.25">
      <c r="D96"/>
      <c r="E96" t="s">
        <v>193</v>
      </c>
      <c r="G96" s="89" t="s">
        <v>283</v>
      </c>
      <c r="J96" s="114"/>
      <c r="K96" s="114"/>
      <c r="L96" s="114"/>
      <c r="M96" s="114"/>
      <c r="N96" s="114"/>
      <c r="O96" s="114"/>
      <c r="P96" s="114"/>
      <c r="Q96" s="114"/>
      <c r="R96" s="163">
        <v>-1.109</v>
      </c>
      <c r="S96" s="163">
        <v>-1.044</v>
      </c>
      <c r="T96" s="163">
        <v>-1.109</v>
      </c>
      <c r="U96" s="163">
        <v>-1.109</v>
      </c>
      <c r="V96" s="163">
        <v>-1.044</v>
      </c>
      <c r="W96" s="163">
        <v>-1.044</v>
      </c>
      <c r="X96" s="163">
        <v>-1.0249999999999999</v>
      </c>
      <c r="Y96" s="163">
        <v>-1.0249999999999999</v>
      </c>
    </row>
    <row r="97" spans="3:25" x14ac:dyDescent="0.25">
      <c r="D97"/>
      <c r="E97" t="s">
        <v>194</v>
      </c>
      <c r="G97" s="89" t="s">
        <v>283</v>
      </c>
      <c r="J97" s="114"/>
      <c r="K97" s="114"/>
      <c r="L97" s="114"/>
      <c r="M97" s="114"/>
      <c r="N97" s="114"/>
      <c r="O97" s="114"/>
      <c r="P97" s="114"/>
      <c r="Q97" s="114"/>
      <c r="R97" s="163">
        <v>-1.109</v>
      </c>
      <c r="S97" s="163">
        <v>-1.044</v>
      </c>
      <c r="T97" s="163">
        <v>-1.109</v>
      </c>
      <c r="U97" s="163">
        <v>-1.109</v>
      </c>
      <c r="V97" s="163">
        <v>-1.044</v>
      </c>
      <c r="W97" s="163">
        <v>-1.044</v>
      </c>
      <c r="X97" s="163">
        <v>-1.0249999999999999</v>
      </c>
      <c r="Y97" s="163">
        <v>-1.0249999999999999</v>
      </c>
    </row>
    <row r="98" spans="3:25" x14ac:dyDescent="0.25">
      <c r="D98"/>
      <c r="E98" t="s">
        <v>195</v>
      </c>
      <c r="G98" s="89" t="s">
        <v>283</v>
      </c>
      <c r="J98" s="114"/>
      <c r="K98" s="114"/>
      <c r="L98" s="114"/>
      <c r="M98" s="114"/>
      <c r="N98" s="114"/>
      <c r="O98" s="114"/>
      <c r="P98" s="114"/>
      <c r="Q98" s="114"/>
      <c r="R98" s="163">
        <v>-1.109</v>
      </c>
      <c r="S98" s="163">
        <v>-1.044</v>
      </c>
      <c r="T98" s="163">
        <v>-1.109</v>
      </c>
      <c r="U98" s="163">
        <v>-1.109</v>
      </c>
      <c r="V98" s="163">
        <v>-1.044</v>
      </c>
      <c r="W98" s="163">
        <v>-1.044</v>
      </c>
      <c r="X98" s="163">
        <v>-1.0249999999999999</v>
      </c>
      <c r="Y98" s="163">
        <v>-1.0249999999999999</v>
      </c>
    </row>
    <row r="99" spans="3:25" x14ac:dyDescent="0.25">
      <c r="D99"/>
      <c r="E99" t="s">
        <v>196</v>
      </c>
      <c r="G99" s="89" t="s">
        <v>283</v>
      </c>
      <c r="J99" s="114"/>
      <c r="K99" s="114"/>
      <c r="L99" s="114"/>
      <c r="M99" s="114"/>
      <c r="N99" s="114"/>
      <c r="O99" s="114"/>
      <c r="P99" s="114"/>
      <c r="Q99" s="114"/>
      <c r="R99" s="163">
        <v>0</v>
      </c>
      <c r="S99" s="163">
        <v>0</v>
      </c>
      <c r="T99" s="163">
        <v>0</v>
      </c>
      <c r="U99" s="163">
        <v>0</v>
      </c>
      <c r="V99" s="163">
        <v>0</v>
      </c>
      <c r="W99" s="163">
        <v>0</v>
      </c>
      <c r="X99" s="163">
        <v>0</v>
      </c>
      <c r="Y99" s="163">
        <v>0</v>
      </c>
    </row>
    <row r="100" spans="3:25" x14ac:dyDescent="0.25">
      <c r="D100"/>
      <c r="E100" t="s">
        <v>197</v>
      </c>
      <c r="G100" s="89" t="s">
        <v>283</v>
      </c>
      <c r="J100" s="114"/>
      <c r="K100" s="114"/>
      <c r="L100" s="114"/>
      <c r="M100" s="114"/>
      <c r="N100" s="114"/>
      <c r="O100" s="114"/>
      <c r="P100" s="114"/>
      <c r="Q100" s="114"/>
      <c r="R100" s="163">
        <v>-1.109</v>
      </c>
      <c r="S100" s="163">
        <v>-1.044</v>
      </c>
      <c r="T100" s="163">
        <v>-1.109</v>
      </c>
      <c r="U100" s="163">
        <v>-1.109</v>
      </c>
      <c r="V100" s="163">
        <v>-1.044</v>
      </c>
      <c r="W100" s="163">
        <v>-1.044</v>
      </c>
      <c r="X100" s="163">
        <v>-1.0249999999999999</v>
      </c>
      <c r="Y100" s="163">
        <v>-1.0249999999999999</v>
      </c>
    </row>
    <row r="101" spans="3:25" x14ac:dyDescent="0.25">
      <c r="D101"/>
      <c r="E101" t="s">
        <v>198</v>
      </c>
      <c r="G101" s="89" t="s">
        <v>283</v>
      </c>
      <c r="J101" s="114"/>
      <c r="K101" s="114"/>
      <c r="L101" s="114"/>
      <c r="M101" s="114"/>
      <c r="N101" s="114"/>
      <c r="O101" s="114"/>
      <c r="P101" s="114"/>
      <c r="Q101" s="114"/>
      <c r="R101" s="163">
        <v>-1.109</v>
      </c>
      <c r="S101" s="163">
        <v>-1.044</v>
      </c>
      <c r="T101" s="163">
        <v>-1.109</v>
      </c>
      <c r="U101" s="163">
        <v>-1.109</v>
      </c>
      <c r="V101" s="163">
        <v>-1.044</v>
      </c>
      <c r="W101" s="163">
        <v>-1.044</v>
      </c>
      <c r="X101" s="163">
        <v>0</v>
      </c>
      <c r="Y101" s="163">
        <v>0</v>
      </c>
    </row>
    <row r="102" spans="3:25" x14ac:dyDescent="0.25">
      <c r="D102"/>
      <c r="E102" t="s">
        <v>199</v>
      </c>
      <c r="G102" s="89" t="s">
        <v>283</v>
      </c>
      <c r="J102" s="114"/>
      <c r="K102" s="114"/>
      <c r="L102" s="114"/>
      <c r="M102" s="114"/>
      <c r="N102" s="114"/>
      <c r="O102" s="114"/>
      <c r="P102" s="114"/>
      <c r="Q102" s="114"/>
      <c r="R102" s="163">
        <v>-1.109</v>
      </c>
      <c r="S102" s="163">
        <v>0</v>
      </c>
      <c r="T102" s="163">
        <v>-1.109</v>
      </c>
      <c r="U102" s="163">
        <v>-1.109</v>
      </c>
      <c r="V102" s="163">
        <v>0</v>
      </c>
      <c r="W102" s="163">
        <v>0</v>
      </c>
      <c r="X102" s="163">
        <v>0</v>
      </c>
      <c r="Y102" s="163">
        <v>0</v>
      </c>
    </row>
    <row r="103" spans="3:25" x14ac:dyDescent="0.25">
      <c r="D103"/>
      <c r="E103" t="s">
        <v>375</v>
      </c>
      <c r="G103" s="89" t="s">
        <v>283</v>
      </c>
      <c r="J103" s="114"/>
      <c r="K103" s="114"/>
      <c r="L103" s="114"/>
      <c r="M103" s="114"/>
      <c r="N103" s="114"/>
      <c r="O103" s="114"/>
      <c r="P103" s="114"/>
      <c r="Q103" s="114"/>
      <c r="R103" s="114"/>
      <c r="S103" s="114"/>
      <c r="T103" s="114"/>
      <c r="U103" s="114"/>
      <c r="V103" s="114"/>
      <c r="W103" s="114"/>
      <c r="X103" s="114"/>
      <c r="Y103" s="114"/>
    </row>
    <row r="104" spans="3:25" x14ac:dyDescent="0.25">
      <c r="D104"/>
      <c r="E104" s="91" t="s">
        <v>376</v>
      </c>
      <c r="F104" s="91"/>
      <c r="G104" s="96" t="s">
        <v>283</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414</v>
      </c>
      <c r="E106"/>
    </row>
    <row r="107" spans="3:25" x14ac:dyDescent="0.25">
      <c r="C107" s="100"/>
      <c r="E107" s="90" t="s">
        <v>189</v>
      </c>
      <c r="F107" s="90"/>
      <c r="G107" s="90" t="s">
        <v>167</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191</v>
      </c>
      <c r="G108" t="s">
        <v>167</v>
      </c>
      <c r="J108" s="95"/>
      <c r="K108" s="95"/>
      <c r="L108" s="95"/>
      <c r="M108" s="95"/>
      <c r="N108" s="95"/>
      <c r="O108" s="95"/>
      <c r="P108" s="95"/>
      <c r="Q108" s="95"/>
      <c r="R108" s="95"/>
      <c r="S108" s="95"/>
      <c r="T108" s="95"/>
      <c r="U108" s="95"/>
      <c r="V108" s="95"/>
      <c r="W108" s="95"/>
      <c r="X108" s="95"/>
      <c r="Y108" s="95"/>
    </row>
    <row r="109" spans="3:25" x14ac:dyDescent="0.25">
      <c r="C109" s="100"/>
      <c r="E109" t="s">
        <v>192</v>
      </c>
      <c r="G109" t="s">
        <v>167</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193</v>
      </c>
      <c r="G110" t="s">
        <v>167</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194</v>
      </c>
      <c r="G111" t="s">
        <v>167</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195</v>
      </c>
      <c r="G112" t="s">
        <v>167</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196</v>
      </c>
      <c r="G113" t="s">
        <v>167</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197</v>
      </c>
      <c r="G114" t="s">
        <v>167</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198</v>
      </c>
      <c r="G115" t="s">
        <v>167</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199</v>
      </c>
      <c r="G116" t="s">
        <v>167</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375</v>
      </c>
      <c r="G117" t="s">
        <v>167</v>
      </c>
      <c r="J117" s="95"/>
      <c r="K117" s="95"/>
      <c r="L117" s="95"/>
      <c r="M117" s="95"/>
      <c r="N117" s="95"/>
      <c r="O117" s="95"/>
      <c r="P117" s="95"/>
      <c r="Q117" s="95"/>
      <c r="R117" s="95"/>
      <c r="S117" s="95"/>
      <c r="T117" s="95"/>
      <c r="U117" s="95"/>
      <c r="V117" s="95"/>
      <c r="W117" s="95"/>
      <c r="X117" s="95"/>
      <c r="Y117" s="95"/>
    </row>
    <row r="118" spans="3:27" x14ac:dyDescent="0.25">
      <c r="C118" s="100"/>
      <c r="E118" s="91" t="s">
        <v>376</v>
      </c>
      <c r="F118" s="91"/>
      <c r="G118" s="91" t="s">
        <v>167</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619</v>
      </c>
      <c r="E122"/>
    </row>
    <row r="123" spans="3:27" x14ac:dyDescent="0.25">
      <c r="E123" s="90" t="s">
        <v>189</v>
      </c>
      <c r="F123" s="90"/>
      <c r="G123" s="90" t="s">
        <v>269</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191</v>
      </c>
      <c r="G124" t="s">
        <v>269</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192</v>
      </c>
      <c r="G125" t="s">
        <v>269</v>
      </c>
      <c r="H125" s="266"/>
      <c r="I125" s="266"/>
      <c r="J125" s="277">
        <f>'Initial unit rates'!J125</f>
        <v>0</v>
      </c>
      <c r="K125" s="277">
        <f>'Initial unit rates'!K125</f>
        <v>0</v>
      </c>
      <c r="L125" s="277">
        <f>'Initial unit rates'!L125</f>
        <v>0</v>
      </c>
      <c r="M125" s="277">
        <f>'Initial unit rates'!M125</f>
        <v>0</v>
      </c>
      <c r="N125" s="277">
        <f>'Initial unit rates'!N125</f>
        <v>0</v>
      </c>
      <c r="O125" s="277">
        <f>'Initial unit rates'!O125</f>
        <v>0</v>
      </c>
      <c r="P125" s="277">
        <f>'Initial unit rates'!P125</f>
        <v>0</v>
      </c>
      <c r="Q125" s="277">
        <f>'Initial unit rates'!Q125</f>
        <v>0</v>
      </c>
      <c r="R125" s="292"/>
      <c r="S125" s="292"/>
      <c r="T125" s="292"/>
      <c r="U125" s="292"/>
      <c r="V125" s="292"/>
      <c r="W125" s="292"/>
      <c r="X125" s="292"/>
      <c r="Y125" s="292"/>
      <c r="Z125" s="266"/>
      <c r="AA125" s="266"/>
    </row>
    <row r="126" spans="3:27" x14ac:dyDescent="0.25">
      <c r="E126" t="s">
        <v>193</v>
      </c>
      <c r="G126" t="s">
        <v>269</v>
      </c>
      <c r="H126" s="266"/>
      <c r="I126" s="266"/>
      <c r="J126" s="277">
        <f>'Initial unit rates'!J126</f>
        <v>0</v>
      </c>
      <c r="K126" s="277">
        <f>'Initial unit rates'!K126</f>
        <v>0</v>
      </c>
      <c r="L126" s="277">
        <f>'Initial unit rates'!L126</f>
        <v>0</v>
      </c>
      <c r="M126" s="277">
        <f>'Initial unit rates'!M126</f>
        <v>0</v>
      </c>
      <c r="N126" s="277">
        <f>'Initial unit rates'!N126</f>
        <v>0</v>
      </c>
      <c r="O126" s="277">
        <f>'Initial unit rates'!O126</f>
        <v>0</v>
      </c>
      <c r="P126" s="277">
        <f>'Initial unit rates'!P126</f>
        <v>0</v>
      </c>
      <c r="Q126" s="277">
        <f>'Initial unit rates'!Q126</f>
        <v>0</v>
      </c>
      <c r="R126" s="292"/>
      <c r="S126" s="292"/>
      <c r="T126" s="292"/>
      <c r="U126" s="292"/>
      <c r="V126" s="292"/>
      <c r="W126" s="292"/>
      <c r="X126" s="292"/>
      <c r="Y126" s="292"/>
      <c r="Z126" s="266"/>
      <c r="AA126" s="266"/>
    </row>
    <row r="127" spans="3:27" x14ac:dyDescent="0.25">
      <c r="E127" t="s">
        <v>194</v>
      </c>
      <c r="G127" t="s">
        <v>269</v>
      </c>
      <c r="H127" s="266"/>
      <c r="I127" s="266"/>
      <c r="J127" s="277">
        <f>'Initial unit rates'!J127</f>
        <v>0.41627758271254839</v>
      </c>
      <c r="K127" s="277">
        <f>'Initial unit rates'!K127</f>
        <v>0.41627758271254839</v>
      </c>
      <c r="L127" s="277">
        <f>'Initial unit rates'!L127</f>
        <v>0.36102917813021251</v>
      </c>
      <c r="M127" s="277">
        <f>'Initial unit rates'!M127</f>
        <v>0.36102917813021251</v>
      </c>
      <c r="N127" s="277">
        <f>'Initial unit rates'!N127</f>
        <v>0.33448870783865647</v>
      </c>
      <c r="O127" s="277">
        <f>'Initial unit rates'!O127</f>
        <v>0.25906879621917817</v>
      </c>
      <c r="P127" s="277">
        <f>'Initial unit rates'!P127</f>
        <v>0.24054893486131457</v>
      </c>
      <c r="Q127" s="277">
        <f>'Initial unit rates'!Q127</f>
        <v>0.4113547156500692</v>
      </c>
      <c r="R127" s="292"/>
      <c r="S127" s="292"/>
      <c r="T127" s="292"/>
      <c r="U127" s="292"/>
      <c r="V127" s="292"/>
      <c r="W127" s="292"/>
      <c r="X127" s="292"/>
      <c r="Y127" s="292"/>
      <c r="Z127" s="266"/>
      <c r="AA127" s="266"/>
    </row>
    <row r="128" spans="3:27" x14ac:dyDescent="0.25">
      <c r="E128" t="s">
        <v>195</v>
      </c>
      <c r="G128" t="s">
        <v>269</v>
      </c>
      <c r="H128" s="266"/>
      <c r="I128" s="266"/>
      <c r="J128" s="277">
        <f>'Initial unit rates'!J128</f>
        <v>0.10666901308367545</v>
      </c>
      <c r="K128" s="277">
        <f>'Initial unit rates'!K128</f>
        <v>0.10666901308367545</v>
      </c>
      <c r="L128" s="277">
        <f>'Initial unit rates'!L128</f>
        <v>9.2511890442471711E-2</v>
      </c>
      <c r="M128" s="277">
        <f>'Initial unit rates'!M128</f>
        <v>9.2511890442471711E-2</v>
      </c>
      <c r="N128" s="277">
        <f>'Initial unit rates'!N128</f>
        <v>8.5711029934131988E-2</v>
      </c>
      <c r="O128" s="277">
        <f>'Initial unit rates'!O128</f>
        <v>6.638506122141595E-2</v>
      </c>
      <c r="P128" s="277">
        <f>'Initial unit rates'!P128</f>
        <v>6.1639440953764044E-2</v>
      </c>
      <c r="Q128" s="277">
        <f>'Initial unit rates'!Q128</f>
        <v>0.1054075534401486</v>
      </c>
      <c r="R128" s="292"/>
      <c r="S128" s="292"/>
      <c r="T128" s="292"/>
      <c r="U128" s="292"/>
      <c r="V128" s="292"/>
      <c r="W128" s="292"/>
      <c r="X128" s="292"/>
      <c r="Y128" s="292"/>
      <c r="Z128" s="266"/>
      <c r="AA128" s="266"/>
    </row>
    <row r="129" spans="4:27" x14ac:dyDescent="0.25">
      <c r="E129" t="s">
        <v>196</v>
      </c>
      <c r="G129" t="s">
        <v>269</v>
      </c>
      <c r="H129" s="266"/>
      <c r="I129" s="266"/>
      <c r="J129" s="277">
        <f>'Initial unit rates'!J129</f>
        <v>0</v>
      </c>
      <c r="K129" s="277">
        <f>'Initial unit rates'!K129</f>
        <v>0</v>
      </c>
      <c r="L129" s="277">
        <f>'Initial unit rates'!L129</f>
        <v>0</v>
      </c>
      <c r="M129" s="277">
        <f>'Initial unit rates'!M129</f>
        <v>0</v>
      </c>
      <c r="N129" s="277">
        <f>'Initial unit rates'!N129</f>
        <v>0</v>
      </c>
      <c r="O129" s="277">
        <f>'Initial unit rates'!O129</f>
        <v>0</v>
      </c>
      <c r="P129" s="277">
        <f>'Initial unit rates'!P129</f>
        <v>0</v>
      </c>
      <c r="Q129" s="277">
        <f>'Initial unit rates'!Q129</f>
        <v>0</v>
      </c>
      <c r="R129" s="292"/>
      <c r="S129" s="292"/>
      <c r="T129" s="292"/>
      <c r="U129" s="292"/>
      <c r="V129" s="292"/>
      <c r="W129" s="292"/>
      <c r="X129" s="292"/>
      <c r="Y129" s="292"/>
      <c r="Z129" s="266"/>
      <c r="AA129" s="266"/>
    </row>
    <row r="130" spans="4:27" x14ac:dyDescent="0.25">
      <c r="E130" t="s">
        <v>197</v>
      </c>
      <c r="G130" t="s">
        <v>269</v>
      </c>
      <c r="H130" s="266"/>
      <c r="I130" s="266"/>
      <c r="J130" s="277">
        <f>'Initial unit rates'!J130</f>
        <v>0.45889308257305383</v>
      </c>
      <c r="K130" s="277">
        <f>'Initial unit rates'!K130</f>
        <v>0.45889308257305383</v>
      </c>
      <c r="L130" s="277">
        <f>'Initial unit rates'!L130</f>
        <v>0.39798874436481935</v>
      </c>
      <c r="M130" s="277">
        <f>'Initial unit rates'!M130</f>
        <v>0.39798874436481935</v>
      </c>
      <c r="N130" s="277">
        <f>'Initial unit rates'!N130</f>
        <v>0.36873125193472417</v>
      </c>
      <c r="O130" s="277">
        <f>'Initial unit rates'!O130</f>
        <v>0.28559039312381712</v>
      </c>
      <c r="P130" s="277">
        <f>'Initial unit rates'!P130</f>
        <v>0.26517460178584307</v>
      </c>
      <c r="Q130" s="277">
        <f>'Initial unit rates'!Q130</f>
        <v>0.45346624784734535</v>
      </c>
      <c r="R130" s="292"/>
      <c r="S130" s="292"/>
      <c r="T130" s="292"/>
      <c r="U130" s="292"/>
      <c r="V130" s="292"/>
      <c r="W130" s="292"/>
      <c r="X130" s="292"/>
      <c r="Y130" s="292"/>
      <c r="Z130" s="266"/>
      <c r="AA130" s="266"/>
    </row>
    <row r="131" spans="4:27" x14ac:dyDescent="0.25">
      <c r="E131" t="s">
        <v>198</v>
      </c>
      <c r="G131" t="s">
        <v>269</v>
      </c>
      <c r="H131" s="266"/>
      <c r="I131" s="266"/>
      <c r="J131" s="277">
        <f>'Initial unit rates'!J131</f>
        <v>0.11533282540347368</v>
      </c>
      <c r="K131" s="277">
        <f>'Initial unit rates'!K131</f>
        <v>0.11533282540347368</v>
      </c>
      <c r="L131" s="277">
        <f>'Initial unit rates'!L131</f>
        <v>0.10002584067949676</v>
      </c>
      <c r="M131" s="277">
        <f>'Initial unit rates'!M131</f>
        <v>0.10002584067949676</v>
      </c>
      <c r="N131" s="277">
        <f>'Initial unit rates'!N131</f>
        <v>9.2672604393468333E-2</v>
      </c>
      <c r="O131" s="277">
        <f>'Initial unit rates'!O131</f>
        <v>7.177695240549857E-2</v>
      </c>
      <c r="P131" s="277">
        <f>'Initial unit rates'!P131</f>
        <v>0</v>
      </c>
      <c r="Q131" s="277">
        <f>'Initial unit rates'!Q131</f>
        <v>0.11396890817376909</v>
      </c>
      <c r="R131" s="292"/>
      <c r="S131" s="292"/>
      <c r="T131" s="292"/>
      <c r="U131" s="292"/>
      <c r="V131" s="292"/>
      <c r="W131" s="292"/>
      <c r="X131" s="292"/>
      <c r="Y131" s="292"/>
      <c r="Z131" s="266"/>
      <c r="AA131" s="266"/>
    </row>
    <row r="132" spans="4:27" x14ac:dyDescent="0.25">
      <c r="E132" t="s">
        <v>199</v>
      </c>
      <c r="G132" t="s">
        <v>269</v>
      </c>
      <c r="H132" s="266"/>
      <c r="I132" s="266"/>
      <c r="J132" s="277">
        <f>'Initial unit rates'!J132</f>
        <v>0.19399345868504206</v>
      </c>
      <c r="K132" s="277">
        <f>'Initial unit rates'!K132</f>
        <v>0.19399345868504206</v>
      </c>
      <c r="L132" s="277">
        <f>'Initial unit rates'!L132</f>
        <v>0.16824662643450783</v>
      </c>
      <c r="M132" s="277">
        <f>'Initial unit rates'!M132</f>
        <v>0.16824662643450783</v>
      </c>
      <c r="N132" s="277">
        <f>'Initial unit rates'!N132</f>
        <v>0.15587825052188545</v>
      </c>
      <c r="O132" s="277">
        <f>'Initial unit rates'!O132</f>
        <v>0</v>
      </c>
      <c r="P132" s="277">
        <f>'Initial unit rates'!P132</f>
        <v>0</v>
      </c>
      <c r="Q132" s="277">
        <f>'Initial unit rates'!Q132</f>
        <v>0.19169930678314517</v>
      </c>
      <c r="R132" s="292"/>
      <c r="S132" s="292"/>
      <c r="T132" s="292"/>
      <c r="U132" s="292"/>
      <c r="V132" s="292"/>
      <c r="W132" s="292"/>
      <c r="X132" s="292"/>
      <c r="Y132" s="292"/>
      <c r="Z132" s="266"/>
      <c r="AA132" s="266"/>
    </row>
    <row r="133" spans="4:27" x14ac:dyDescent="0.25">
      <c r="E133" t="s">
        <v>375</v>
      </c>
      <c r="G133" t="s">
        <v>269</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376</v>
      </c>
      <c r="F134" s="91"/>
      <c r="G134" s="91" t="s">
        <v>269</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620</v>
      </c>
      <c r="E136"/>
      <c r="J136" s="101"/>
      <c r="K136" s="101"/>
      <c r="L136" s="101"/>
      <c r="M136" s="101"/>
      <c r="N136" s="101"/>
      <c r="O136" s="101"/>
      <c r="P136" s="101"/>
      <c r="Q136" s="101"/>
      <c r="R136" s="101"/>
      <c r="S136" s="101"/>
      <c r="T136" s="101"/>
      <c r="U136" s="101"/>
      <c r="V136" s="101"/>
      <c r="W136" s="101"/>
      <c r="X136" s="101"/>
      <c r="Y136" s="101"/>
    </row>
    <row r="137" spans="4:27" x14ac:dyDescent="0.25">
      <c r="E137" s="90" t="s">
        <v>189</v>
      </c>
      <c r="F137" s="90"/>
      <c r="G137" s="90" t="s">
        <v>269</v>
      </c>
      <c r="H137" s="264"/>
      <c r="I137" s="264"/>
      <c r="J137" s="276">
        <f>'Initial unit rates'!J135</f>
        <v>0.25348875915619978</v>
      </c>
      <c r="K137" s="276">
        <f>'Initial unit rates'!K135</f>
        <v>0.25348875915619978</v>
      </c>
      <c r="L137" s="276">
        <f>'Initial unit rates'!L135</f>
        <v>0.21984570436646644</v>
      </c>
      <c r="M137" s="276">
        <f>'Initial unit rates'!M135</f>
        <v>0.21984570436646644</v>
      </c>
      <c r="N137" s="276">
        <f>'Initial unit rates'!N135</f>
        <v>0.20368410652641605</v>
      </c>
      <c r="O137" s="276">
        <f>'Initial unit rates'!O135</f>
        <v>0.15775778090610657</v>
      </c>
      <c r="P137" s="276">
        <f>'Initial unit rates'!P135</f>
        <v>0.14648026592497571</v>
      </c>
      <c r="Q137" s="276">
        <f>'Initial unit rates'!Q135</f>
        <v>0.25049102035165677</v>
      </c>
      <c r="R137" s="278"/>
      <c r="S137" s="278"/>
      <c r="T137" s="278"/>
      <c r="U137" s="278"/>
      <c r="V137" s="278"/>
      <c r="W137" s="278"/>
      <c r="X137" s="278"/>
      <c r="Y137" s="278"/>
      <c r="Z137" s="266"/>
      <c r="AA137" s="266"/>
    </row>
    <row r="138" spans="4:27" x14ac:dyDescent="0.25">
      <c r="E138" t="s">
        <v>191</v>
      </c>
      <c r="G138" t="s">
        <v>269</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192</v>
      </c>
      <c r="G139" t="s">
        <v>269</v>
      </c>
      <c r="H139" s="266"/>
      <c r="I139" s="266"/>
      <c r="J139" s="277">
        <f>'Initial unit rates'!J137</f>
        <v>0</v>
      </c>
      <c r="K139" s="277">
        <f>'Initial unit rates'!K137</f>
        <v>0</v>
      </c>
      <c r="L139" s="277">
        <f>'Initial unit rates'!L137</f>
        <v>0</v>
      </c>
      <c r="M139" s="277">
        <f>'Initial unit rates'!M137</f>
        <v>0</v>
      </c>
      <c r="N139" s="277">
        <f>'Initial unit rates'!N137</f>
        <v>0</v>
      </c>
      <c r="O139" s="277">
        <f>'Initial unit rates'!O137</f>
        <v>0</v>
      </c>
      <c r="P139" s="277">
        <f>'Initial unit rates'!P137</f>
        <v>0</v>
      </c>
      <c r="Q139" s="277">
        <f>'Initial unit rates'!Q137</f>
        <v>0</v>
      </c>
      <c r="R139" s="292"/>
      <c r="S139" s="292"/>
      <c r="T139" s="292"/>
      <c r="U139" s="292"/>
      <c r="V139" s="292"/>
      <c r="W139" s="292"/>
      <c r="X139" s="292"/>
      <c r="Y139" s="292"/>
      <c r="Z139" s="266"/>
      <c r="AA139" s="266"/>
    </row>
    <row r="140" spans="4:27" x14ac:dyDescent="0.25">
      <c r="E140" t="s">
        <v>193</v>
      </c>
      <c r="G140" t="s">
        <v>269</v>
      </c>
      <c r="H140" s="266"/>
      <c r="I140" s="266"/>
      <c r="J140" s="277">
        <f>'Initial unit rates'!J138</f>
        <v>0</v>
      </c>
      <c r="K140" s="277">
        <f>'Initial unit rates'!K138</f>
        <v>0</v>
      </c>
      <c r="L140" s="277">
        <f>'Initial unit rates'!L138</f>
        <v>0</v>
      </c>
      <c r="M140" s="277">
        <f>'Initial unit rates'!M138</f>
        <v>0</v>
      </c>
      <c r="N140" s="277">
        <f>'Initial unit rates'!N138</f>
        <v>0</v>
      </c>
      <c r="O140" s="277">
        <f>'Initial unit rates'!O138</f>
        <v>0</v>
      </c>
      <c r="P140" s="277">
        <f>'Initial unit rates'!P138</f>
        <v>0</v>
      </c>
      <c r="Q140" s="277">
        <f>'Initial unit rates'!Q138</f>
        <v>0</v>
      </c>
      <c r="R140" s="292"/>
      <c r="S140" s="292"/>
      <c r="T140" s="292"/>
      <c r="U140" s="292"/>
      <c r="V140" s="292"/>
      <c r="W140" s="292"/>
      <c r="X140" s="292"/>
      <c r="Y140" s="292"/>
      <c r="Z140" s="266"/>
      <c r="AA140" s="266"/>
    </row>
    <row r="141" spans="4:27" x14ac:dyDescent="0.25">
      <c r="E141" t="s">
        <v>194</v>
      </c>
      <c r="G141" t="s">
        <v>269</v>
      </c>
      <c r="H141" s="266"/>
      <c r="I141" s="266"/>
      <c r="J141" s="277">
        <f>'Initial unit rates'!J139</f>
        <v>0.31199849261604751</v>
      </c>
      <c r="K141" s="277">
        <f>'Initial unit rates'!K139</f>
        <v>0.31199849261604751</v>
      </c>
      <c r="L141" s="277">
        <f>'Initial unit rates'!L139</f>
        <v>0.27059001984456688</v>
      </c>
      <c r="M141" s="277">
        <f>'Initial unit rates'!M139</f>
        <v>0.27059001984456688</v>
      </c>
      <c r="N141" s="277">
        <f>'Initial unit rates'!N139</f>
        <v>0.25069803654263528</v>
      </c>
      <c r="O141" s="277">
        <f>'Initial unit rates'!O139</f>
        <v>0.19417109462762583</v>
      </c>
      <c r="P141" s="277">
        <f>'Initial unit rates'!P139</f>
        <v>0.18029052774852578</v>
      </c>
      <c r="Q141" s="277">
        <f>'Initial unit rates'!Q139</f>
        <v>0.30830882214944616</v>
      </c>
      <c r="R141" s="292"/>
      <c r="S141" s="292"/>
      <c r="T141" s="292"/>
      <c r="U141" s="292"/>
      <c r="V141" s="292"/>
      <c r="W141" s="292"/>
      <c r="X141" s="292"/>
      <c r="Y141" s="292"/>
      <c r="Z141" s="266"/>
      <c r="AA141" s="266"/>
    </row>
    <row r="142" spans="4:27" x14ac:dyDescent="0.25">
      <c r="E142" t="s">
        <v>195</v>
      </c>
      <c r="G142" t="s">
        <v>269</v>
      </c>
      <c r="H142" s="266"/>
      <c r="I142" s="266"/>
      <c r="J142" s="277">
        <f>'Initial unit rates'!J140</f>
        <v>7.9948026684707088E-2</v>
      </c>
      <c r="K142" s="277">
        <f>'Initial unit rates'!K140</f>
        <v>7.9948026684707088E-2</v>
      </c>
      <c r="L142" s="277">
        <f>'Initial unit rates'!L140</f>
        <v>6.9337316170213326E-2</v>
      </c>
      <c r="M142" s="277">
        <f>'Initial unit rates'!M140</f>
        <v>6.9337316170213326E-2</v>
      </c>
      <c r="N142" s="277">
        <f>'Initial unit rates'!N140</f>
        <v>6.4240096633990551E-2</v>
      </c>
      <c r="O142" s="277">
        <f>'Initial unit rates'!O140</f>
        <v>4.9755355304847287E-2</v>
      </c>
      <c r="P142" s="277">
        <f>'Initial unit rates'!P140</f>
        <v>4.619853064859869E-2</v>
      </c>
      <c r="Q142" s="277">
        <f>'Initial unit rates'!Q140</f>
        <v>7.9002567395951379E-2</v>
      </c>
      <c r="R142" s="292"/>
      <c r="S142" s="292"/>
      <c r="T142" s="292"/>
      <c r="U142" s="292"/>
      <c r="V142" s="292"/>
      <c r="W142" s="292"/>
      <c r="X142" s="292"/>
      <c r="Y142" s="292"/>
      <c r="Z142" s="266"/>
      <c r="AA142" s="266"/>
    </row>
    <row r="143" spans="4:27" x14ac:dyDescent="0.25">
      <c r="E143" t="s">
        <v>196</v>
      </c>
      <c r="G143" t="s">
        <v>269</v>
      </c>
      <c r="H143" s="266"/>
      <c r="I143" s="266"/>
      <c r="J143" s="277">
        <f>'Initial unit rates'!J141</f>
        <v>0</v>
      </c>
      <c r="K143" s="277">
        <f>'Initial unit rates'!K141</f>
        <v>0</v>
      </c>
      <c r="L143" s="277">
        <f>'Initial unit rates'!L141</f>
        <v>0</v>
      </c>
      <c r="M143" s="277">
        <f>'Initial unit rates'!M141</f>
        <v>0</v>
      </c>
      <c r="N143" s="277">
        <f>'Initial unit rates'!N141</f>
        <v>0</v>
      </c>
      <c r="O143" s="277">
        <f>'Initial unit rates'!O141</f>
        <v>0</v>
      </c>
      <c r="P143" s="277">
        <f>'Initial unit rates'!P141</f>
        <v>0</v>
      </c>
      <c r="Q143" s="277">
        <f>'Initial unit rates'!Q141</f>
        <v>0</v>
      </c>
      <c r="R143" s="292"/>
      <c r="S143" s="292"/>
      <c r="T143" s="292"/>
      <c r="U143" s="292"/>
      <c r="V143" s="292"/>
      <c r="W143" s="292"/>
      <c r="X143" s="292"/>
      <c r="Y143" s="292"/>
      <c r="Z143" s="266"/>
      <c r="AA143" s="266"/>
    </row>
    <row r="144" spans="4:27" x14ac:dyDescent="0.25">
      <c r="E144" t="s">
        <v>197</v>
      </c>
      <c r="G144" t="s">
        <v>269</v>
      </c>
      <c r="H144" s="266"/>
      <c r="I144" s="266"/>
      <c r="J144" s="277">
        <f>'Initial unit rates'!J142</f>
        <v>0.3439386505076108</v>
      </c>
      <c r="K144" s="277">
        <f>'Initial unit rates'!K142</f>
        <v>0.3439386505076108</v>
      </c>
      <c r="L144" s="277">
        <f>'Initial unit rates'!L142</f>
        <v>0.29829107661971166</v>
      </c>
      <c r="M144" s="277">
        <f>'Initial unit rates'!M142</f>
        <v>0.29829107661971166</v>
      </c>
      <c r="N144" s="277">
        <f>'Initial unit rates'!N142</f>
        <v>0.27636269537844155</v>
      </c>
      <c r="O144" s="277">
        <f>'Initial unit rates'!O142</f>
        <v>0.21404893239659281</v>
      </c>
      <c r="P144" s="277">
        <f>'Initial unit rates'!P142</f>
        <v>0.19874737308247978</v>
      </c>
      <c r="Q144" s="277">
        <f>'Initial unit rates'!Q142</f>
        <v>0.33987125816074343</v>
      </c>
      <c r="R144" s="292"/>
      <c r="S144" s="292"/>
      <c r="T144" s="292"/>
      <c r="U144" s="292"/>
      <c r="V144" s="292"/>
      <c r="W144" s="292"/>
      <c r="X144" s="292"/>
      <c r="Y144" s="292"/>
      <c r="Z144" s="266"/>
      <c r="AA144" s="266"/>
    </row>
    <row r="145" spans="2:27" x14ac:dyDescent="0.25">
      <c r="E145" t="s">
        <v>198</v>
      </c>
      <c r="G145" t="s">
        <v>269</v>
      </c>
      <c r="H145" s="266"/>
      <c r="I145" s="266"/>
      <c r="J145" s="277">
        <f>'Initial unit rates'!J143</f>
        <v>8.6441521641777513E-2</v>
      </c>
      <c r="K145" s="277">
        <f>'Initial unit rates'!K143</f>
        <v>8.6441521641777513E-2</v>
      </c>
      <c r="L145" s="277">
        <f>'Initial unit rates'!L143</f>
        <v>7.4968993793273445E-2</v>
      </c>
      <c r="M145" s="277">
        <f>'Initial unit rates'!M143</f>
        <v>7.4968993793273445E-2</v>
      </c>
      <c r="N145" s="277">
        <f>'Initial unit rates'!N143</f>
        <v>6.9457770675898187E-2</v>
      </c>
      <c r="O145" s="277">
        <f>'Initial unit rates'!O143</f>
        <v>5.379655759784991E-2</v>
      </c>
      <c r="P145" s="277">
        <f>'Initial unit rates'!P143</f>
        <v>0</v>
      </c>
      <c r="Q145" s="277">
        <f>'Initial unit rates'!Q143</f>
        <v>8.5419270775065018E-2</v>
      </c>
      <c r="R145" s="292"/>
      <c r="S145" s="292"/>
      <c r="T145" s="292"/>
      <c r="U145" s="292"/>
      <c r="V145" s="292"/>
      <c r="W145" s="292"/>
      <c r="X145" s="292"/>
      <c r="Y145" s="292"/>
      <c r="Z145" s="266"/>
      <c r="AA145" s="266"/>
    </row>
    <row r="146" spans="2:27" x14ac:dyDescent="0.25">
      <c r="E146" t="s">
        <v>199</v>
      </c>
      <c r="G146" t="s">
        <v>269</v>
      </c>
      <c r="H146" s="266"/>
      <c r="I146" s="266"/>
      <c r="J146" s="277">
        <f>'Initial unit rates'!J144</f>
        <v>0.14539737233196465</v>
      </c>
      <c r="K146" s="277">
        <f>'Initial unit rates'!K144</f>
        <v>0.14539737233196465</v>
      </c>
      <c r="L146" s="277">
        <f>'Initial unit rates'!L144</f>
        <v>0.12610021777595792</v>
      </c>
      <c r="M146" s="277">
        <f>'Initial unit rates'!M144</f>
        <v>0.12610021777595792</v>
      </c>
      <c r="N146" s="277">
        <f>'Initial unit rates'!N144</f>
        <v>0.11683016624999934</v>
      </c>
      <c r="O146" s="277">
        <f>'Initial unit rates'!O144</f>
        <v>0</v>
      </c>
      <c r="P146" s="277">
        <f>'Initial unit rates'!P144</f>
        <v>0</v>
      </c>
      <c r="Q146" s="277">
        <f>'Initial unit rates'!Q144</f>
        <v>0.14367791405472582</v>
      </c>
      <c r="R146" s="292"/>
      <c r="S146" s="292"/>
      <c r="T146" s="292"/>
      <c r="U146" s="292"/>
      <c r="V146" s="292"/>
      <c r="W146" s="292"/>
      <c r="X146" s="292"/>
      <c r="Y146" s="292"/>
      <c r="Z146" s="266"/>
      <c r="AA146" s="266"/>
    </row>
    <row r="147" spans="2:27" x14ac:dyDescent="0.25">
      <c r="E147" t="s">
        <v>375</v>
      </c>
      <c r="G147" t="s">
        <v>269</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376</v>
      </c>
      <c r="F148" s="91"/>
      <c r="G148" s="91" t="s">
        <v>269</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673</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674</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675</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154</v>
      </c>
      <c r="J156" s="101"/>
      <c r="K156" s="101"/>
      <c r="L156" s="101"/>
      <c r="M156" s="101"/>
      <c r="N156" s="101"/>
      <c r="O156" s="101"/>
      <c r="P156" s="101"/>
      <c r="Q156" s="101"/>
      <c r="R156" s="101"/>
      <c r="S156" s="101"/>
      <c r="T156" s="101"/>
      <c r="U156" s="101"/>
      <c r="V156" s="101"/>
      <c r="W156" s="101"/>
      <c r="X156" s="101"/>
      <c r="Y156" s="101"/>
      <c r="AA156" t="s">
        <v>676</v>
      </c>
    </row>
    <row r="157" spans="2:27" x14ac:dyDescent="0.25">
      <c r="D157"/>
      <c r="E157" s="60" t="s">
        <v>619</v>
      </c>
      <c r="J157" s="101"/>
      <c r="K157" s="101"/>
      <c r="L157" s="101"/>
      <c r="M157" s="101"/>
      <c r="N157" s="101"/>
      <c r="O157" s="101"/>
      <c r="P157" s="101"/>
      <c r="Q157" s="101"/>
      <c r="R157" s="101"/>
      <c r="S157" s="101"/>
      <c r="T157" s="101"/>
      <c r="U157" s="101"/>
      <c r="V157" s="101"/>
      <c r="W157" s="101"/>
      <c r="X157" s="101"/>
      <c r="Y157" s="101"/>
    </row>
    <row r="158" spans="2:27" x14ac:dyDescent="0.25">
      <c r="D158"/>
      <c r="F158" s="90" t="s">
        <v>189</v>
      </c>
      <c r="G158" s="90" t="s">
        <v>269</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191</v>
      </c>
      <c r="G159" t="s">
        <v>269</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192</v>
      </c>
      <c r="G160" t="s">
        <v>269</v>
      </c>
      <c r="H160" s="266"/>
      <c r="I160" s="266"/>
      <c r="J160" s="292"/>
      <c r="K160" s="292"/>
      <c r="L160" s="292"/>
      <c r="M160" s="292"/>
      <c r="N160" s="292"/>
      <c r="O160" s="292"/>
      <c r="P160" s="292"/>
      <c r="Q160" s="292"/>
      <c r="R160" s="280">
        <f t="shared" ref="R160:S160" si="0">hundred * $H51 * R95 / $H37 * (1 - R109) / hours_in_year</f>
        <v>0</v>
      </c>
      <c r="S160" s="280">
        <f t="shared" si="0"/>
        <v>0</v>
      </c>
      <c r="T160" s="280">
        <f t="shared" ref="T160:U160" si="1">hundred * $H51 * T95 / $H37 * (1 - T109) / hours_in_year</f>
        <v>0</v>
      </c>
      <c r="U160" s="280">
        <f t="shared" si="1"/>
        <v>0</v>
      </c>
      <c r="V160" s="280">
        <f t="shared" ref="V160:W160" si="2">hundred * $H51 * V95 / $H37 * (1 - V109) / hours_in_year</f>
        <v>0</v>
      </c>
      <c r="W160" s="280">
        <f t="shared" si="2"/>
        <v>0</v>
      </c>
      <c r="X160" s="280">
        <f t="shared" ref="X160:Y160" si="3">hundred * $H51 * X95 / $H37 * (1 - X109) / hours_in_year</f>
        <v>0</v>
      </c>
      <c r="Y160" s="280">
        <f t="shared" si="3"/>
        <v>0</v>
      </c>
      <c r="Z160" s="266"/>
      <c r="AA160" s="266"/>
    </row>
    <row r="161" spans="4:27" x14ac:dyDescent="0.25">
      <c r="D161"/>
      <c r="F161" t="s">
        <v>193</v>
      </c>
      <c r="G161" t="s">
        <v>269</v>
      </c>
      <c r="H161" s="266"/>
      <c r="I161" s="266"/>
      <c r="J161" s="292"/>
      <c r="K161" s="292"/>
      <c r="L161" s="292"/>
      <c r="M161" s="292"/>
      <c r="N161" s="292"/>
      <c r="O161" s="292"/>
      <c r="P161" s="292"/>
      <c r="Q161" s="292"/>
      <c r="R161" s="280">
        <f t="shared" ref="R161:S161" si="4">hundred * $H52 * R96 / $H38 * (1 - R110) / hours_in_year</f>
        <v>0</v>
      </c>
      <c r="S161" s="280">
        <f t="shared" si="4"/>
        <v>0</v>
      </c>
      <c r="T161" s="280">
        <f t="shared" ref="T161:U161" si="5">hundred * $H52 * T96 / $H38 * (1 - T110) / hours_in_year</f>
        <v>0</v>
      </c>
      <c r="U161" s="280">
        <f t="shared" si="5"/>
        <v>0</v>
      </c>
      <c r="V161" s="280">
        <f t="shared" ref="V161:W161" si="6">hundred * $H52 * V96 / $H38 * (1 - V110) / hours_in_year</f>
        <v>0</v>
      </c>
      <c r="W161" s="280">
        <f t="shared" si="6"/>
        <v>0</v>
      </c>
      <c r="X161" s="280">
        <f t="shared" ref="X161:Y161" si="7">hundred * $H52 * X96 / $H38 * (1 - X110) / hours_in_year</f>
        <v>0</v>
      </c>
      <c r="Y161" s="280">
        <f t="shared" si="7"/>
        <v>0</v>
      </c>
      <c r="Z161" s="266"/>
      <c r="AA161" s="266"/>
    </row>
    <row r="162" spans="4:27" x14ac:dyDescent="0.25">
      <c r="D162"/>
      <c r="F162" t="s">
        <v>194</v>
      </c>
      <c r="G162" t="s">
        <v>269</v>
      </c>
      <c r="H162" s="266"/>
      <c r="I162" s="266"/>
      <c r="J162" s="292"/>
      <c r="K162" s="292"/>
      <c r="L162" s="292"/>
      <c r="M162" s="292"/>
      <c r="N162" s="292"/>
      <c r="O162" s="292"/>
      <c r="P162" s="292"/>
      <c r="Q162" s="292"/>
      <c r="R162" s="280">
        <f t="shared" ref="R162:S162" si="8">hundred * $H53 * R97 / $H39 * (1 - R111) / hours_in_year</f>
        <v>-0.22131276475481138</v>
      </c>
      <c r="S162" s="280">
        <f t="shared" si="8"/>
        <v>-0.20834132227594507</v>
      </c>
      <c r="T162" s="280">
        <f t="shared" ref="T162:U162" si="9">hundred * $H53 * T97 / $H39 * (1 - T111) / hours_in_year</f>
        <v>-0.22131276475481138</v>
      </c>
      <c r="U162" s="280">
        <f t="shared" si="9"/>
        <v>-0.22131276475481138</v>
      </c>
      <c r="V162" s="280">
        <f t="shared" ref="V162:W162" si="10">hundred * $H53 * V97 / $H39 * (1 - V111) / hours_in_year</f>
        <v>-0.20834132227594507</v>
      </c>
      <c r="W162" s="280">
        <f t="shared" si="10"/>
        <v>-0.20834132227594507</v>
      </c>
      <c r="X162" s="280">
        <f t="shared" ref="X162:Y162" si="11">hundred * $H53 * X97 / $H39 * (1 - X111) / hours_in_year</f>
        <v>-0.20454966985904569</v>
      </c>
      <c r="Y162" s="280">
        <f t="shared" si="11"/>
        <v>-0.20454966985904569</v>
      </c>
      <c r="Z162" s="266"/>
      <c r="AA162" s="266"/>
    </row>
    <row r="163" spans="4:27" x14ac:dyDescent="0.25">
      <c r="D163"/>
      <c r="F163" t="s">
        <v>195</v>
      </c>
      <c r="G163" t="s">
        <v>269</v>
      </c>
      <c r="H163" s="266"/>
      <c r="I163" s="266"/>
      <c r="J163" s="292"/>
      <c r="K163" s="292"/>
      <c r="L163" s="292"/>
      <c r="M163" s="292"/>
      <c r="N163" s="292"/>
      <c r="O163" s="292"/>
      <c r="P163" s="292"/>
      <c r="Q163" s="292"/>
      <c r="R163" s="280">
        <f t="shared" ref="R163:S163" si="12">hundred * $H54 * R98 / $H40 * (1 - R112) / hours_in_year</f>
        <v>-5.6710270212933421E-2</v>
      </c>
      <c r="S163" s="280">
        <f t="shared" si="12"/>
        <v>-5.3386404059785841E-2</v>
      </c>
      <c r="T163" s="280">
        <f t="shared" ref="T163:U163" si="13">hundred * $H54 * T98 / $H40 * (1 - T112) / hours_in_year</f>
        <v>-5.6710270212933421E-2</v>
      </c>
      <c r="U163" s="280">
        <f t="shared" si="13"/>
        <v>-5.6710270212933421E-2</v>
      </c>
      <c r="V163" s="280">
        <f t="shared" ref="V163:W163" si="14">hundred * $H54 * V98 / $H40 * (1 - V112) / hours_in_year</f>
        <v>-5.3386404059785841E-2</v>
      </c>
      <c r="W163" s="280">
        <f t="shared" si="14"/>
        <v>-5.3386404059785841E-2</v>
      </c>
      <c r="X163" s="280">
        <f t="shared" ref="X163:Y163" si="15">hundred * $H54 * X98 / $H40 * (1 - X112) / hours_in_year</f>
        <v>-5.2414812415019621E-2</v>
      </c>
      <c r="Y163" s="280">
        <f t="shared" si="15"/>
        <v>-5.2414812415019621E-2</v>
      </c>
      <c r="Z163" s="266"/>
      <c r="AA163" s="266"/>
    </row>
    <row r="164" spans="4:27" x14ac:dyDescent="0.25">
      <c r="D164"/>
      <c r="F164" t="s">
        <v>196</v>
      </c>
      <c r="G164" t="s">
        <v>269</v>
      </c>
      <c r="H164" s="266"/>
      <c r="I164" s="266"/>
      <c r="J164" s="292"/>
      <c r="K164" s="292"/>
      <c r="L164" s="292"/>
      <c r="M164" s="292"/>
      <c r="N164" s="292"/>
      <c r="O164" s="292"/>
      <c r="P164" s="292"/>
      <c r="Q164" s="292"/>
      <c r="R164" s="280">
        <f t="shared" ref="R164:S164" si="16">hundred * $H55 * R99 / $H41 * (1 - R113) / hours_in_year</f>
        <v>0</v>
      </c>
      <c r="S164" s="280">
        <f t="shared" si="16"/>
        <v>0</v>
      </c>
      <c r="T164" s="280">
        <f t="shared" ref="T164:U164" si="17">hundred * $H55 * T99 / $H41 * (1 - T113) / hours_in_year</f>
        <v>0</v>
      </c>
      <c r="U164" s="280">
        <f t="shared" si="17"/>
        <v>0</v>
      </c>
      <c r="V164" s="280">
        <f t="shared" ref="V164:W164" si="18">hundred * $H55 * V99 / $H41 * (1 - V113) / hours_in_year</f>
        <v>0</v>
      </c>
      <c r="W164" s="280">
        <f t="shared" si="18"/>
        <v>0</v>
      </c>
      <c r="X164" s="280">
        <f t="shared" ref="X164:Y164" si="19">hundred * $H55 * X99 / $H41 * (1 - X113) / hours_in_year</f>
        <v>0</v>
      </c>
      <c r="Y164" s="280">
        <f t="shared" si="19"/>
        <v>0</v>
      </c>
      <c r="Z164" s="266"/>
      <c r="AA164" s="266"/>
    </row>
    <row r="165" spans="4:27" x14ac:dyDescent="0.25">
      <c r="D165"/>
      <c r="F165" t="s">
        <v>197</v>
      </c>
      <c r="G165" t="s">
        <v>269</v>
      </c>
      <c r="H165" s="266"/>
      <c r="I165" s="266"/>
      <c r="J165" s="292"/>
      <c r="K165" s="292"/>
      <c r="L165" s="292"/>
      <c r="M165" s="292"/>
      <c r="N165" s="292"/>
      <c r="O165" s="292"/>
      <c r="P165" s="292"/>
      <c r="Q165" s="292"/>
      <c r="R165" s="280">
        <f t="shared" ref="R165:S165" si="20">hundred * $H56 * R100 / $H42 * (1 - R114) / hours_in_year</f>
        <v>-0.24396917117016562</v>
      </c>
      <c r="S165" s="280">
        <f t="shared" si="20"/>
        <v>-0.22966980586262667</v>
      </c>
      <c r="T165" s="280">
        <f t="shared" ref="T165:U165" si="21">hundred * $H56 * T100 / $H42 * (1 - T114) / hours_in_year</f>
        <v>-0.24396917117016562</v>
      </c>
      <c r="U165" s="280">
        <f t="shared" si="21"/>
        <v>-0.24396917117016562</v>
      </c>
      <c r="V165" s="280">
        <f t="shared" ref="V165:W165" si="22">hundred * $H56 * V100 / $H42 * (1 - V114) / hours_in_year</f>
        <v>-0.22966980586262667</v>
      </c>
      <c r="W165" s="280">
        <f t="shared" si="22"/>
        <v>-0.22966980586262667</v>
      </c>
      <c r="X165" s="280">
        <f t="shared" ref="X165:Y165" si="23">hundred * $H56 * X100 / $H42 * (1 - X114) / hours_in_year</f>
        <v>-0.22548999138811521</v>
      </c>
      <c r="Y165" s="280">
        <f t="shared" si="23"/>
        <v>-0.22548999138811521</v>
      </c>
      <c r="Z165" s="266"/>
      <c r="AA165" s="266"/>
    </row>
    <row r="166" spans="4:27" x14ac:dyDescent="0.25">
      <c r="D166"/>
      <c r="F166" t="s">
        <v>198</v>
      </c>
      <c r="G166" t="s">
        <v>269</v>
      </c>
      <c r="H166" s="266"/>
      <c r="I166" s="266"/>
      <c r="J166" s="292"/>
      <c r="K166" s="292"/>
      <c r="L166" s="292"/>
      <c r="M166" s="292"/>
      <c r="N166" s="292"/>
      <c r="O166" s="292"/>
      <c r="P166" s="292"/>
      <c r="Q166" s="292"/>
      <c r="R166" s="280">
        <f t="shared" ref="R166:S166" si="24">hundred * $H57 * R101 / $H43 * (1 - R115) / hours_in_year</f>
        <v>-6.1316360805938934E-2</v>
      </c>
      <c r="S166" s="280">
        <f t="shared" si="24"/>
        <v>-5.7722525411542151E-2</v>
      </c>
      <c r="T166" s="280">
        <f t="shared" ref="T166:U166" si="25">hundred * $H57 * T101 / $H43 * (1 - T115) / hours_in_year</f>
        <v>-6.1316360805938934E-2</v>
      </c>
      <c r="U166" s="280">
        <f t="shared" si="25"/>
        <v>-6.1316360805938934E-2</v>
      </c>
      <c r="V166" s="280">
        <f t="shared" ref="V166:W166" si="26">hundred * $H57 * V101 / $H43 * (1 - V115) / hours_in_year</f>
        <v>-5.7722525411542151E-2</v>
      </c>
      <c r="W166" s="280">
        <f t="shared" si="26"/>
        <v>-5.7722525411542151E-2</v>
      </c>
      <c r="X166" s="280">
        <f t="shared" ref="X166:Y166" si="27">hundred * $H57 * X101 / $H43 * (1 - X115) / hours_in_year</f>
        <v>0</v>
      </c>
      <c r="Y166" s="280">
        <f t="shared" si="27"/>
        <v>0</v>
      </c>
      <c r="Z166" s="266"/>
      <c r="AA166" s="266"/>
    </row>
    <row r="167" spans="4:27" x14ac:dyDescent="0.25">
      <c r="D167"/>
      <c r="F167" t="s">
        <v>199</v>
      </c>
      <c r="G167" t="s">
        <v>269</v>
      </c>
      <c r="H167" s="266"/>
      <c r="I167" s="266"/>
      <c r="J167" s="292"/>
      <c r="K167" s="292"/>
      <c r="L167" s="292"/>
      <c r="M167" s="292"/>
      <c r="N167" s="292"/>
      <c r="O167" s="292"/>
      <c r="P167" s="292"/>
      <c r="Q167" s="292"/>
      <c r="R167" s="280">
        <f t="shared" ref="R167:S167" si="28">hundred * $H58 * R102 / $H44 * (1 - R116) / hours_in_year</f>
        <v>-0.1031360574503517</v>
      </c>
      <c r="S167" s="280">
        <f t="shared" si="28"/>
        <v>0</v>
      </c>
      <c r="T167" s="280">
        <f t="shared" ref="T167:U167" si="29">hundred * $H58 * T102 / $H44 * (1 - T116) / hours_in_year</f>
        <v>-0.1031360574503517</v>
      </c>
      <c r="U167" s="280">
        <f t="shared" si="29"/>
        <v>-0.1031360574503517</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375</v>
      </c>
      <c r="G168" t="s">
        <v>269</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376</v>
      </c>
      <c r="G169" s="91" t="s">
        <v>269</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620</v>
      </c>
      <c r="J171" s="101"/>
      <c r="K171" s="101"/>
      <c r="L171" s="101"/>
      <c r="M171" s="101"/>
      <c r="N171" s="101"/>
      <c r="O171" s="101"/>
      <c r="P171" s="101"/>
      <c r="Q171" s="101"/>
      <c r="R171" s="101"/>
      <c r="S171" s="101"/>
      <c r="T171" s="101"/>
      <c r="U171" s="101"/>
      <c r="V171" s="101"/>
      <c r="W171" s="101"/>
      <c r="X171" s="101"/>
      <c r="Y171" s="101"/>
    </row>
    <row r="172" spans="4:27" x14ac:dyDescent="0.25">
      <c r="D172"/>
      <c r="F172" s="90" t="s">
        <v>189</v>
      </c>
      <c r="G172" s="90" t="s">
        <v>269</v>
      </c>
      <c r="H172" s="264"/>
      <c r="I172" s="264"/>
      <c r="J172" s="278"/>
      <c r="K172" s="278"/>
      <c r="L172" s="278"/>
      <c r="M172" s="278"/>
      <c r="N172" s="278"/>
      <c r="O172" s="278"/>
      <c r="P172" s="278"/>
      <c r="Q172" s="278"/>
      <c r="R172" s="281">
        <f t="shared" ref="R172:S172" si="32">hundred * $H63 * R93 / $H35 / hours_in_year</f>
        <v>-0.13476656071067836</v>
      </c>
      <c r="S172" s="281">
        <f t="shared" si="32"/>
        <v>-0.12686770909102635</v>
      </c>
      <c r="T172" s="281">
        <f t="shared" ref="T172:U172" si="33">hundred * $H63 * T93 / $H35 / hours_in_year</f>
        <v>-0.13476656071067836</v>
      </c>
      <c r="U172" s="281">
        <f t="shared" si="33"/>
        <v>-0.13476656071067836</v>
      </c>
      <c r="V172" s="281">
        <f t="shared" ref="V172:W172" si="34">hundred * $H63 * V93 / $H35 / hours_in_year</f>
        <v>-0.12686770909102635</v>
      </c>
      <c r="W172" s="281">
        <f t="shared" si="34"/>
        <v>-0.12686770909102635</v>
      </c>
      <c r="X172" s="281">
        <f t="shared" ref="X172:Y172" si="35">hundred * $H63 * X93 / $H35 / hours_in_year</f>
        <v>-0.12455881400220498</v>
      </c>
      <c r="Y172" s="281">
        <f t="shared" si="35"/>
        <v>-0.12455881400220498</v>
      </c>
      <c r="Z172" s="266"/>
      <c r="AA172" s="266"/>
    </row>
    <row r="173" spans="4:27" x14ac:dyDescent="0.25">
      <c r="D173"/>
      <c r="F173" t="s">
        <v>191</v>
      </c>
      <c r="G173" t="s">
        <v>269</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192</v>
      </c>
      <c r="G174" t="s">
        <v>269</v>
      </c>
      <c r="H174" s="266"/>
      <c r="I174" s="266"/>
      <c r="J174" s="292"/>
      <c r="K174" s="292"/>
      <c r="L174" s="292"/>
      <c r="M174" s="292"/>
      <c r="N174" s="292"/>
      <c r="O174" s="292"/>
      <c r="P174" s="292"/>
      <c r="Q174" s="292"/>
      <c r="R174" s="280">
        <f t="shared" ref="R174:S174" si="40">hundred * $H65 * R95 / $H37 / hours_in_year</f>
        <v>0</v>
      </c>
      <c r="S174" s="280">
        <f t="shared" si="40"/>
        <v>0</v>
      </c>
      <c r="T174" s="280">
        <f t="shared" ref="T174:U174" si="41">hundred * $H65 * T95 / $H37 / hours_in_year</f>
        <v>0</v>
      </c>
      <c r="U174" s="280">
        <f t="shared" si="41"/>
        <v>0</v>
      </c>
      <c r="V174" s="280">
        <f t="shared" ref="V174:W174" si="42">hundred * $H65 * V95 / $H37 / hours_in_year</f>
        <v>0</v>
      </c>
      <c r="W174" s="280">
        <f t="shared" si="42"/>
        <v>0</v>
      </c>
      <c r="X174" s="280">
        <f t="shared" ref="X174:Y174" si="43">hundred * $H65 * X95 / $H37 / hours_in_year</f>
        <v>0</v>
      </c>
      <c r="Y174" s="280">
        <f t="shared" si="43"/>
        <v>0</v>
      </c>
      <c r="Z174" s="266"/>
      <c r="AA174" s="266"/>
    </row>
    <row r="175" spans="4:27" x14ac:dyDescent="0.25">
      <c r="D175"/>
      <c r="F175" t="s">
        <v>193</v>
      </c>
      <c r="G175" t="s">
        <v>269</v>
      </c>
      <c r="H175" s="266"/>
      <c r="I175" s="266"/>
      <c r="J175" s="292"/>
      <c r="K175" s="292"/>
      <c r="L175" s="292"/>
      <c r="M175" s="292"/>
      <c r="N175" s="292"/>
      <c r="O175" s="292"/>
      <c r="P175" s="292"/>
      <c r="Q175" s="292"/>
      <c r="R175" s="280">
        <f t="shared" ref="R175:S175" si="44">hundred * $H66 * R96 / $H38 / hours_in_year</f>
        <v>0</v>
      </c>
      <c r="S175" s="280">
        <f t="shared" si="44"/>
        <v>0</v>
      </c>
      <c r="T175" s="280">
        <f t="shared" ref="T175:U175" si="45">hundred * $H66 * T96 / $H38 / hours_in_year</f>
        <v>0</v>
      </c>
      <c r="U175" s="280">
        <f t="shared" si="45"/>
        <v>0</v>
      </c>
      <c r="V175" s="280">
        <f t="shared" ref="V175:W175" si="46">hundred * $H66 * V96 / $H38 / hours_in_year</f>
        <v>0</v>
      </c>
      <c r="W175" s="280">
        <f t="shared" si="46"/>
        <v>0</v>
      </c>
      <c r="X175" s="280">
        <f t="shared" ref="X175:Y175" si="47">hundred * $H66 * X96 / $H38 / hours_in_year</f>
        <v>0</v>
      </c>
      <c r="Y175" s="280">
        <f t="shared" si="47"/>
        <v>0</v>
      </c>
      <c r="Z175" s="266"/>
      <c r="AA175" s="266"/>
    </row>
    <row r="176" spans="4:27" x14ac:dyDescent="0.25">
      <c r="D176"/>
      <c r="F176" t="s">
        <v>194</v>
      </c>
      <c r="G176" t="s">
        <v>269</v>
      </c>
      <c r="H176" s="266"/>
      <c r="I176" s="266"/>
      <c r="J176" s="292"/>
      <c r="K176" s="292"/>
      <c r="L176" s="292"/>
      <c r="M176" s="292"/>
      <c r="N176" s="292"/>
      <c r="O176" s="292"/>
      <c r="P176" s="292"/>
      <c r="Q176" s="292"/>
      <c r="R176" s="280">
        <f t="shared" ref="R176:S176" si="48">hundred * $H67 * R97 / $H39 / hours_in_year</f>
        <v>-0.16587309013916218</v>
      </c>
      <c r="S176" s="280">
        <f t="shared" si="48"/>
        <v>-0.15615104247546016</v>
      </c>
      <c r="T176" s="280">
        <f t="shared" ref="T176:U176" si="49">hundred * $H67 * T97 / $H39 / hours_in_year</f>
        <v>-0.16587309013916218</v>
      </c>
      <c r="U176" s="280">
        <f t="shared" si="49"/>
        <v>-0.16587309013916218</v>
      </c>
      <c r="V176" s="280">
        <f t="shared" ref="V176:W176" si="50">hundred * $H67 * V97 / $H39 / hours_in_year</f>
        <v>-0.15615104247546016</v>
      </c>
      <c r="W176" s="280">
        <f t="shared" si="50"/>
        <v>-0.15615104247546016</v>
      </c>
      <c r="X176" s="280">
        <f t="shared" ref="X176:Y176" si="51">hundred * $H67 * X97 / $H39 / hours_in_year</f>
        <v>-0.153309213158378</v>
      </c>
      <c r="Y176" s="280">
        <f t="shared" si="51"/>
        <v>-0.153309213158378</v>
      </c>
      <c r="Z176" s="266"/>
      <c r="AA176" s="266"/>
    </row>
    <row r="177" spans="2:27" x14ac:dyDescent="0.25">
      <c r="D177"/>
      <c r="F177" t="s">
        <v>195</v>
      </c>
      <c r="G177" t="s">
        <v>269</v>
      </c>
      <c r="H177" s="266"/>
      <c r="I177" s="266"/>
      <c r="J177" s="292"/>
      <c r="K177" s="292"/>
      <c r="L177" s="292"/>
      <c r="M177" s="292"/>
      <c r="N177" s="292"/>
      <c r="O177" s="292"/>
      <c r="P177" s="292"/>
      <c r="Q177" s="292"/>
      <c r="R177" s="280">
        <f t="shared" ref="R177:S177" si="52">hundred * $H68 * R98 / $H40 / hours_in_year</f>
        <v>-4.2504135598629735E-2</v>
      </c>
      <c r="S177" s="280">
        <f t="shared" si="52"/>
        <v>-4.0012910338114924E-2</v>
      </c>
      <c r="T177" s="280">
        <f t="shared" ref="T177:U177" si="53">hundred * $H68 * T98 / $H40 / hours_in_year</f>
        <v>-4.2504135598629735E-2</v>
      </c>
      <c r="U177" s="280">
        <f t="shared" si="53"/>
        <v>-4.2504135598629735E-2</v>
      </c>
      <c r="V177" s="280">
        <f t="shared" ref="V177:W177" si="54">hundred * $H68 * V98 / $H40 / hours_in_year</f>
        <v>-4.0012910338114924E-2</v>
      </c>
      <c r="W177" s="280">
        <f t="shared" si="54"/>
        <v>-4.0012910338114924E-2</v>
      </c>
      <c r="X177" s="280">
        <f t="shared" ref="X177:Y177" si="55">hundred * $H68 * X98 / $H40 / hours_in_year</f>
        <v>-3.9284706031195202E-2</v>
      </c>
      <c r="Y177" s="280">
        <f t="shared" si="55"/>
        <v>-3.9284706031195202E-2</v>
      </c>
      <c r="Z177" s="266"/>
      <c r="AA177" s="266"/>
    </row>
    <row r="178" spans="2:27" x14ac:dyDescent="0.25">
      <c r="D178"/>
      <c r="F178" t="s">
        <v>196</v>
      </c>
      <c r="G178" t="s">
        <v>269</v>
      </c>
      <c r="H178" s="266"/>
      <c r="I178" s="266"/>
      <c r="J178" s="292"/>
      <c r="K178" s="292"/>
      <c r="L178" s="292"/>
      <c r="M178" s="292"/>
      <c r="N178" s="292"/>
      <c r="O178" s="292"/>
      <c r="P178" s="292"/>
      <c r="Q178" s="292"/>
      <c r="R178" s="280">
        <f t="shared" ref="R178:S178" si="56">hundred * $H69 * R99 / $H41 / hours_in_year</f>
        <v>0</v>
      </c>
      <c r="S178" s="280">
        <f t="shared" si="56"/>
        <v>0</v>
      </c>
      <c r="T178" s="280">
        <f t="shared" ref="T178:U178" si="57">hundred * $H69 * T99 / $H41 / hours_in_year</f>
        <v>0</v>
      </c>
      <c r="U178" s="280">
        <f t="shared" si="57"/>
        <v>0</v>
      </c>
      <c r="V178" s="280">
        <f t="shared" ref="V178:W178" si="58">hundred * $H69 * V99 / $H41 / hours_in_year</f>
        <v>0</v>
      </c>
      <c r="W178" s="280">
        <f t="shared" si="58"/>
        <v>0</v>
      </c>
      <c r="X178" s="280">
        <f t="shared" ref="X178:Y178" si="59">hundred * $H69 * X99 / $H41 / hours_in_year</f>
        <v>0</v>
      </c>
      <c r="Y178" s="280">
        <f t="shared" si="59"/>
        <v>0</v>
      </c>
      <c r="Z178" s="266"/>
      <c r="AA178" s="266"/>
    </row>
    <row r="179" spans="2:27" x14ac:dyDescent="0.25">
      <c r="D179"/>
      <c r="F179" t="s">
        <v>197</v>
      </c>
      <c r="G179" t="s">
        <v>269</v>
      </c>
      <c r="H179" s="266"/>
      <c r="I179" s="266"/>
      <c r="J179" s="292"/>
      <c r="K179" s="292"/>
      <c r="L179" s="292"/>
      <c r="M179" s="292"/>
      <c r="N179" s="292"/>
      <c r="O179" s="292"/>
      <c r="P179" s="292"/>
      <c r="Q179" s="292"/>
      <c r="R179" s="280">
        <f t="shared" ref="R179:S179" si="60">hundred * $H70 * R100 / $H42 / hours_in_year</f>
        <v>-0.18285398208060563</v>
      </c>
      <c r="S179" s="280">
        <f t="shared" si="60"/>
        <v>-0.17213666121925364</v>
      </c>
      <c r="T179" s="280">
        <f t="shared" ref="T179:U179" si="61">hundred * $H70 * T100 / $H42 / hours_in_year</f>
        <v>-0.18285398208060563</v>
      </c>
      <c r="U179" s="280">
        <f t="shared" si="61"/>
        <v>-0.18285398208060563</v>
      </c>
      <c r="V179" s="280">
        <f t="shared" ref="V179:W179" si="62">hundred * $H70 * V100 / $H42 / hours_in_year</f>
        <v>-0.17213666121925364</v>
      </c>
      <c r="W179" s="280">
        <f t="shared" si="62"/>
        <v>-0.17213666121925364</v>
      </c>
      <c r="X179" s="280">
        <f t="shared" ref="X179:Y179" si="63">hundred * $H70 * X100 / $H42 / hours_in_year</f>
        <v>-0.16900390589055073</v>
      </c>
      <c r="Y179" s="280">
        <f t="shared" si="63"/>
        <v>-0.16900390589055073</v>
      </c>
      <c r="Z179" s="266"/>
      <c r="AA179" s="266"/>
    </row>
    <row r="180" spans="2:27" x14ac:dyDescent="0.25">
      <c r="D180"/>
      <c r="F180" t="s">
        <v>198</v>
      </c>
      <c r="G180" t="s">
        <v>269</v>
      </c>
      <c r="H180" s="266"/>
      <c r="I180" s="266"/>
      <c r="J180" s="292"/>
      <c r="K180" s="292"/>
      <c r="L180" s="292"/>
      <c r="M180" s="292"/>
      <c r="N180" s="292"/>
      <c r="O180" s="292"/>
      <c r="P180" s="292"/>
      <c r="Q180" s="292"/>
      <c r="R180" s="280">
        <f t="shared" ref="R180:S180" si="64">hundred * $H71 * R101 / $H43 / hours_in_year</f>
        <v>-4.5956383285152495E-2</v>
      </c>
      <c r="S180" s="280">
        <f t="shared" si="64"/>
        <v>-4.3262817087194955E-2</v>
      </c>
      <c r="T180" s="280">
        <f t="shared" ref="T180:U180" si="65">hundred * $H71 * T101 / $H43 / hours_in_year</f>
        <v>-4.5956383285152495E-2</v>
      </c>
      <c r="U180" s="280">
        <f t="shared" si="65"/>
        <v>-4.5956383285152495E-2</v>
      </c>
      <c r="V180" s="280">
        <f t="shared" ref="V180:W180" si="66">hundred * $H71 * V101 / $H43 / hours_in_year</f>
        <v>-4.3262817087194955E-2</v>
      </c>
      <c r="W180" s="280">
        <f t="shared" si="66"/>
        <v>-4.3262817087194955E-2</v>
      </c>
      <c r="X180" s="280">
        <f t="shared" ref="X180:Y180" si="67">hundred * $H71 * X101 / $H43 / hours_in_year</f>
        <v>0</v>
      </c>
      <c r="Y180" s="280">
        <f t="shared" si="67"/>
        <v>0</v>
      </c>
      <c r="Z180" s="266"/>
      <c r="AA180" s="266"/>
    </row>
    <row r="181" spans="2:27" x14ac:dyDescent="0.25">
      <c r="D181"/>
      <c r="F181" t="s">
        <v>199</v>
      </c>
      <c r="G181" t="s">
        <v>269</v>
      </c>
      <c r="H181" s="266"/>
      <c r="I181" s="266"/>
      <c r="J181" s="292"/>
      <c r="K181" s="292"/>
      <c r="L181" s="292"/>
      <c r="M181" s="292"/>
      <c r="N181" s="292"/>
      <c r="O181" s="292"/>
      <c r="P181" s="292"/>
      <c r="Q181" s="292"/>
      <c r="R181" s="280">
        <f t="shared" ref="R181:S181" si="68">hundred * $H72 * R102 / $H44 / hours_in_year</f>
        <v>-7.7300089640166492E-2</v>
      </c>
      <c r="S181" s="280">
        <f t="shared" si="68"/>
        <v>0</v>
      </c>
      <c r="T181" s="280">
        <f t="shared" ref="T181:U181" si="69">hundred * $H72 * T102 / $H44 / hours_in_year</f>
        <v>-7.7300089640166492E-2</v>
      </c>
      <c r="U181" s="280">
        <f t="shared" si="69"/>
        <v>-7.7300089640166492E-2</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375</v>
      </c>
      <c r="G182" t="s">
        <v>269</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376</v>
      </c>
      <c r="G183" s="91" t="s">
        <v>269</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677</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678</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679</v>
      </c>
      <c r="I188" t="s">
        <v>154</v>
      </c>
      <c r="J188" s="101"/>
      <c r="K188" s="101"/>
      <c r="L188" s="101"/>
      <c r="M188" s="101"/>
      <c r="N188" s="101"/>
      <c r="O188" s="101"/>
      <c r="P188" s="101"/>
      <c r="Q188" s="101"/>
      <c r="R188" s="101"/>
      <c r="S188" s="101"/>
      <c r="T188" s="101"/>
      <c r="U188" s="101"/>
      <c r="V188" s="101"/>
      <c r="W188" s="101"/>
      <c r="X188" s="101"/>
      <c r="Y188" s="101"/>
      <c r="AA188" t="s">
        <v>680</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154</v>
      </c>
      <c r="J191" s="101"/>
      <c r="K191" s="101"/>
      <c r="L191" s="101"/>
      <c r="M191" s="101"/>
      <c r="N191" s="101"/>
      <c r="O191" s="101"/>
      <c r="P191" s="101"/>
      <c r="Q191" s="101"/>
      <c r="R191" s="101"/>
      <c r="S191" s="101"/>
      <c r="T191" s="101"/>
      <c r="U191" s="101"/>
      <c r="V191" s="101"/>
      <c r="W191" s="101"/>
      <c r="X191" s="101"/>
      <c r="Y191" s="101"/>
      <c r="AA191" t="s">
        <v>681</v>
      </c>
    </row>
    <row r="192" spans="2:27" x14ac:dyDescent="0.25">
      <c r="E192" s="60" t="s">
        <v>619</v>
      </c>
      <c r="J192" s="101"/>
      <c r="K192" s="101"/>
      <c r="L192" s="101"/>
      <c r="M192" s="101"/>
      <c r="N192" s="101"/>
      <c r="O192" s="101"/>
      <c r="P192" s="101"/>
      <c r="Q192" s="101"/>
      <c r="R192" s="101"/>
      <c r="S192" s="101"/>
      <c r="T192" s="101"/>
      <c r="U192" s="101"/>
      <c r="V192" s="101"/>
      <c r="W192" s="101"/>
      <c r="X192" s="101"/>
      <c r="Y192" s="101"/>
    </row>
    <row r="193" spans="4:27" x14ac:dyDescent="0.25">
      <c r="F193" s="90" t="s">
        <v>189</v>
      </c>
      <c r="G193" s="90" t="s">
        <v>272</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191</v>
      </c>
      <c r="G194" t="s">
        <v>272</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192</v>
      </c>
      <c r="G195" t="s">
        <v>272</v>
      </c>
      <c r="H195" s="266"/>
      <c r="I195" s="266"/>
      <c r="J195" s="280">
        <f t="shared" ref="J195:K195" si="72">ABS(J125 + J160)*(1-J82)*PowerFactor*$H23</f>
        <v>0</v>
      </c>
      <c r="K195" s="280">
        <f t="shared" si="72"/>
        <v>0</v>
      </c>
      <c r="L195" s="280">
        <f t="shared" ref="L195:M195" si="73">ABS(L125 + L160)*(1-L82)*PowerFactor*$H23</f>
        <v>0</v>
      </c>
      <c r="M195" s="280">
        <f t="shared" si="73"/>
        <v>0</v>
      </c>
      <c r="N195" s="280">
        <f t="shared" ref="N195:P195" si="74">ABS(N125 + N160)*(1-N82)*PowerFactor*$H23</f>
        <v>0</v>
      </c>
      <c r="O195" s="280">
        <f t="shared" si="74"/>
        <v>0</v>
      </c>
      <c r="P195" s="280">
        <f t="shared" si="74"/>
        <v>0</v>
      </c>
      <c r="Q195" s="280">
        <f t="shared" ref="Q195:S195" si="75">ABS(Q125 + Q160)*(1-Q82)*PowerFactor*$H23</f>
        <v>0</v>
      </c>
      <c r="R195" s="280">
        <f t="shared" si="75"/>
        <v>0</v>
      </c>
      <c r="S195" s="280">
        <f t="shared" si="75"/>
        <v>0</v>
      </c>
      <c r="T195" s="280">
        <f t="shared" ref="T195:U195" si="76">ABS(T125 + T160)*(1-T82)*PowerFactor*$H23</f>
        <v>0</v>
      </c>
      <c r="U195" s="280">
        <f t="shared" si="76"/>
        <v>0</v>
      </c>
      <c r="V195" s="280">
        <f t="shared" ref="V195:W195" si="77">ABS(V125 + V160)*(1-V82)*PowerFactor*$H23</f>
        <v>0</v>
      </c>
      <c r="W195" s="280">
        <f t="shared" si="77"/>
        <v>0</v>
      </c>
      <c r="X195" s="280">
        <f t="shared" ref="X195:Y195" si="78">ABS(X125 + X160)*(1-X82)*PowerFactor*$H23</f>
        <v>0</v>
      </c>
      <c r="Y195" s="280">
        <f t="shared" si="78"/>
        <v>0</v>
      </c>
      <c r="Z195" s="266"/>
      <c r="AA195" s="266"/>
    </row>
    <row r="196" spans="4:27" x14ac:dyDescent="0.25">
      <c r="F196" t="s">
        <v>193</v>
      </c>
      <c r="G196" t="s">
        <v>272</v>
      </c>
      <c r="H196" s="266"/>
      <c r="I196" s="266"/>
      <c r="J196" s="280">
        <f t="shared" ref="J196:K196" si="79">ABS(J126 + J161)*(1-J83)*PowerFactor*$H24</f>
        <v>0</v>
      </c>
      <c r="K196" s="280">
        <f t="shared" si="79"/>
        <v>0</v>
      </c>
      <c r="L196" s="280">
        <f t="shared" ref="L196:M196" si="80">ABS(L126 + L161)*(1-L83)*PowerFactor*$H24</f>
        <v>0</v>
      </c>
      <c r="M196" s="280">
        <f t="shared" si="80"/>
        <v>0</v>
      </c>
      <c r="N196" s="280">
        <f t="shared" ref="N196:P196" si="81">ABS(N126 + N161)*(1-N83)*PowerFactor*$H24</f>
        <v>0</v>
      </c>
      <c r="O196" s="280">
        <f t="shared" si="81"/>
        <v>0</v>
      </c>
      <c r="P196" s="280">
        <f t="shared" si="81"/>
        <v>0</v>
      </c>
      <c r="Q196" s="280">
        <f t="shared" ref="Q196:S196" si="82">ABS(Q126 + Q161)*(1-Q83)*PowerFactor*$H24</f>
        <v>0</v>
      </c>
      <c r="R196" s="280">
        <f t="shared" si="82"/>
        <v>0</v>
      </c>
      <c r="S196" s="280">
        <f t="shared" si="82"/>
        <v>0</v>
      </c>
      <c r="T196" s="280">
        <f t="shared" ref="T196:U196" si="83">ABS(T126 + T161)*(1-T83)*PowerFactor*$H24</f>
        <v>0</v>
      </c>
      <c r="U196" s="280">
        <f t="shared" si="83"/>
        <v>0</v>
      </c>
      <c r="V196" s="280">
        <f t="shared" ref="V196:W196" si="84">ABS(V126 + V161)*(1-V83)*PowerFactor*$H24</f>
        <v>0</v>
      </c>
      <c r="W196" s="280">
        <f t="shared" si="84"/>
        <v>0</v>
      </c>
      <c r="X196" s="280">
        <f t="shared" ref="X196:Y196" si="85">ABS(X126 + X161)*(1-X83)*PowerFactor*$H24</f>
        <v>0</v>
      </c>
      <c r="Y196" s="280">
        <f t="shared" si="85"/>
        <v>0</v>
      </c>
      <c r="Z196" s="266"/>
      <c r="AA196" s="266"/>
    </row>
    <row r="197" spans="4:27" x14ac:dyDescent="0.25">
      <c r="F197" t="s">
        <v>194</v>
      </c>
      <c r="G197" t="s">
        <v>272</v>
      </c>
      <c r="H197" s="266"/>
      <c r="I197" s="266"/>
      <c r="J197" s="280">
        <f t="shared" ref="J197:K197" si="86">ABS(J127 + J162)*(1-J84)*PowerFactor*$H25</f>
        <v>7.0307650648631578E-2</v>
      </c>
      <c r="K197" s="280">
        <f t="shared" si="86"/>
        <v>7.0307650648631578E-2</v>
      </c>
      <c r="L197" s="280">
        <f t="shared" ref="L197:M197" si="87">ABS(L127 + L162)*(1-L84)*PowerFactor*$H25</f>
        <v>6.0976411856098749E-2</v>
      </c>
      <c r="M197" s="280">
        <f t="shared" si="87"/>
        <v>6.0976411856098749E-2</v>
      </c>
      <c r="N197" s="280">
        <f t="shared" ref="N197:P197" si="88">ABS(N127 + N162)*(1-N84)*PowerFactor*$H25</f>
        <v>5.6493830543048233E-2</v>
      </c>
      <c r="O197" s="280">
        <f t="shared" si="88"/>
        <v>4.3755703345469729E-2</v>
      </c>
      <c r="P197" s="280">
        <f t="shared" si="88"/>
        <v>3.2502217132952385E-2</v>
      </c>
      <c r="Q197" s="280">
        <f t="shared" ref="Q197:S197" si="89">ABS(Q127 + Q162)*(1-Q84)*PowerFactor*$H25</f>
        <v>6.9476197714358534E-2</v>
      </c>
      <c r="R197" s="280">
        <f t="shared" si="89"/>
        <v>3.7378857749370276E-2</v>
      </c>
      <c r="S197" s="280">
        <f t="shared" si="89"/>
        <v>3.5188032002112325E-2</v>
      </c>
      <c r="T197" s="280">
        <f t="shared" ref="T197:U197" si="90">ABS(T127 + T162)*(1-T84)*PowerFactor*$H25</f>
        <v>3.7378857749370276E-2</v>
      </c>
      <c r="U197" s="280">
        <f t="shared" si="90"/>
        <v>3.7378857749370276E-2</v>
      </c>
      <c r="V197" s="280">
        <f t="shared" ref="V197:W197" si="91">ABS(V127 + V162)*(1-V84)*PowerFactor*$H25</f>
        <v>3.5188032002112325E-2</v>
      </c>
      <c r="W197" s="280">
        <f t="shared" si="91"/>
        <v>3.5188032002112325E-2</v>
      </c>
      <c r="X197" s="280">
        <f t="shared" ref="X197:Y197" si="92">ABS(X127 + X162)*(1-X84)*PowerFactor*$H25</f>
        <v>3.4547636783683069E-2</v>
      </c>
      <c r="Y197" s="280">
        <f t="shared" si="92"/>
        <v>3.4547636783683069E-2</v>
      </c>
      <c r="Z197" s="266"/>
      <c r="AA197" s="266"/>
    </row>
    <row r="198" spans="4:27" x14ac:dyDescent="0.25">
      <c r="F198" t="s">
        <v>195</v>
      </c>
      <c r="G198" t="s">
        <v>272</v>
      </c>
      <c r="H198" s="266"/>
      <c r="I198" s="266"/>
      <c r="J198" s="280">
        <f t="shared" ref="J198:K198" si="93">ABS(J128 + J163)*(1-J85)*PowerFactor*$H26</f>
        <v>1.4381949693715266E-2</v>
      </c>
      <c r="K198" s="280">
        <f t="shared" si="93"/>
        <v>1.4381949693715266E-2</v>
      </c>
      <c r="L198" s="280">
        <f t="shared" ref="L198:M198" si="94">ABS(L128 + L163)*(1-L85)*PowerFactor*$H26</f>
        <v>1.247317581695846E-2</v>
      </c>
      <c r="M198" s="280">
        <f t="shared" si="94"/>
        <v>1.247317581695846E-2</v>
      </c>
      <c r="N198" s="280">
        <f t="shared" ref="N198:P198" si="95">ABS(N128 + N163)*(1-N85)*PowerFactor*$H26</f>
        <v>1.1556230671621913E-2</v>
      </c>
      <c r="O198" s="280">
        <f t="shared" si="95"/>
        <v>8.9505525859854985E-3</v>
      </c>
      <c r="P198" s="280">
        <f t="shared" si="95"/>
        <v>0</v>
      </c>
      <c r="Q198" s="280">
        <f t="shared" ref="Q198:S198" si="96">ABS(Q128 + Q163)*(1-Q85)*PowerFactor*$H26</f>
        <v>1.421186984944387E-2</v>
      </c>
      <c r="R198" s="280">
        <f t="shared" si="96"/>
        <v>7.6461216780886031E-3</v>
      </c>
      <c r="S198" s="280">
        <f t="shared" si="96"/>
        <v>7.1979720756758367E-3</v>
      </c>
      <c r="T198" s="280">
        <f t="shared" ref="T198:U198" si="97">ABS(T128 + T163)*(1-T85)*PowerFactor*$H26</f>
        <v>7.6461216780886031E-3</v>
      </c>
      <c r="U198" s="280">
        <f t="shared" si="97"/>
        <v>7.6461216780886031E-3</v>
      </c>
      <c r="V198" s="280">
        <f t="shared" ref="V198:W198" si="98">ABS(V128 + V163)*(1-V85)*PowerFactor*$H26</f>
        <v>7.1979720756758367E-3</v>
      </c>
      <c r="W198" s="280">
        <f t="shared" si="98"/>
        <v>7.1979720756758367E-3</v>
      </c>
      <c r="X198" s="280">
        <f t="shared" ref="X198:Y198" si="99">ABS(X128 + X163)*(1-X85)*PowerFactor*$H26</f>
        <v>7.0669744995859509E-3</v>
      </c>
      <c r="Y198" s="280">
        <f t="shared" si="99"/>
        <v>7.0669744995859509E-3</v>
      </c>
      <c r="Z198" s="266"/>
      <c r="AA198" s="266"/>
    </row>
    <row r="199" spans="4:27" x14ac:dyDescent="0.25">
      <c r="F199" t="s">
        <v>196</v>
      </c>
      <c r="G199" t="s">
        <v>272</v>
      </c>
      <c r="H199" s="266"/>
      <c r="I199" s="266"/>
      <c r="J199" s="280">
        <f t="shared" ref="J199:K199" si="100">ABS(J129 + J164)*(1-J86)*PowerFactor*$H27</f>
        <v>0</v>
      </c>
      <c r="K199" s="280">
        <f t="shared" si="100"/>
        <v>0</v>
      </c>
      <c r="L199" s="280">
        <f t="shared" ref="L199:M199" si="101">ABS(L129 + L164)*(1-L86)*PowerFactor*$H27</f>
        <v>0</v>
      </c>
      <c r="M199" s="280">
        <f t="shared" si="101"/>
        <v>0</v>
      </c>
      <c r="N199" s="280">
        <f t="shared" ref="N199:P199" si="102">ABS(N129 + N164)*(1-N86)*PowerFactor*$H27</f>
        <v>0</v>
      </c>
      <c r="O199" s="280">
        <f t="shared" si="102"/>
        <v>0</v>
      </c>
      <c r="P199" s="280">
        <f t="shared" si="102"/>
        <v>0</v>
      </c>
      <c r="Q199" s="280">
        <f t="shared" ref="Q199:S199" si="103">ABS(Q129 + Q164)*(1-Q86)*PowerFactor*$H27</f>
        <v>0</v>
      </c>
      <c r="R199" s="280">
        <f t="shared" si="103"/>
        <v>0</v>
      </c>
      <c r="S199" s="280">
        <f t="shared" si="103"/>
        <v>0</v>
      </c>
      <c r="T199" s="280">
        <f t="shared" ref="T199:U199" si="104">ABS(T129 + T164)*(1-T86)*PowerFactor*$H27</f>
        <v>0</v>
      </c>
      <c r="U199" s="280">
        <f t="shared" si="104"/>
        <v>0</v>
      </c>
      <c r="V199" s="280">
        <f t="shared" ref="V199:W199" si="105">ABS(V129 + V164)*(1-V86)*PowerFactor*$H27</f>
        <v>0</v>
      </c>
      <c r="W199" s="280">
        <f t="shared" si="105"/>
        <v>0</v>
      </c>
      <c r="X199" s="280">
        <f t="shared" ref="X199:Y199" si="106">ABS(X129 + X164)*(1-X86)*PowerFactor*$H27</f>
        <v>0</v>
      </c>
      <c r="Y199" s="280">
        <f t="shared" si="106"/>
        <v>0</v>
      </c>
      <c r="Z199" s="266"/>
      <c r="AA199" s="266"/>
    </row>
    <row r="200" spans="4:27" x14ac:dyDescent="0.25">
      <c r="F200" t="s">
        <v>197</v>
      </c>
      <c r="G200" t="s">
        <v>272</v>
      </c>
      <c r="H200" s="266"/>
      <c r="I200" s="266"/>
      <c r="J200" s="280">
        <f t="shared" ref="J200:K200" si="107">ABS(J130 + J165)*(1-J87)*PowerFactor*$H28</f>
        <v>6.1871550486573411E-2</v>
      </c>
      <c r="K200" s="280">
        <f t="shared" si="107"/>
        <v>6.1871550486573411E-2</v>
      </c>
      <c r="L200" s="280">
        <f t="shared" ref="L200:M200" si="108">ABS(L130 + L165)*(1-L87)*PowerFactor*$H28</f>
        <v>5.3659951795276439E-2</v>
      </c>
      <c r="M200" s="280">
        <f t="shared" si="108"/>
        <v>5.3659951795276439E-2</v>
      </c>
      <c r="N200" s="280">
        <f t="shared" ref="N200:P200" si="109">ABS(N130 + N165)*(1-N87)*PowerFactor*$H28</f>
        <v>3.9772182473767966E-2</v>
      </c>
      <c r="O200" s="280">
        <f t="shared" si="109"/>
        <v>0</v>
      </c>
      <c r="P200" s="280">
        <f t="shared" si="109"/>
        <v>0</v>
      </c>
      <c r="Q200" s="280">
        <f t="shared" ref="Q200:S200" si="110">ABS(Q130 + Q165)*(1-Q87)*PowerFactor*$H28</f>
        <v>6.1139862231803281E-2</v>
      </c>
      <c r="R200" s="280">
        <f t="shared" si="110"/>
        <v>3.2893829661987443E-2</v>
      </c>
      <c r="S200" s="280">
        <f t="shared" si="110"/>
        <v>3.0965877517687021E-2</v>
      </c>
      <c r="T200" s="280">
        <f t="shared" ref="T200:U200" si="111">ABS(T130 + T165)*(1-T87)*PowerFactor*$H28</f>
        <v>3.2893829661987443E-2</v>
      </c>
      <c r="U200" s="280">
        <f t="shared" si="111"/>
        <v>3.2893829661987443E-2</v>
      </c>
      <c r="V200" s="280">
        <f t="shared" ref="V200:W200" si="112">ABS(V130 + V165)*(1-V87)*PowerFactor*$H28</f>
        <v>3.0965877517687021E-2</v>
      </c>
      <c r="W200" s="280">
        <f t="shared" si="112"/>
        <v>3.0965877517687021E-2</v>
      </c>
      <c r="X200" s="280">
        <f t="shared" ref="X200:Y200" si="113">ABS(X130 + X165)*(1-X87)*PowerFactor*$H28</f>
        <v>3.0402322275506884E-2</v>
      </c>
      <c r="Y200" s="280">
        <f t="shared" si="113"/>
        <v>3.0402322275506884E-2</v>
      </c>
      <c r="Z200" s="266"/>
      <c r="AA200" s="266"/>
    </row>
    <row r="201" spans="4:27" x14ac:dyDescent="0.25">
      <c r="F201" t="s">
        <v>198</v>
      </c>
      <c r="G201" t="s">
        <v>272</v>
      </c>
      <c r="H201" s="266"/>
      <c r="I201" s="266"/>
      <c r="J201" s="280">
        <f t="shared" ref="J201:K201" si="114">ABS(J131 + J166)*(1-J88)*PowerFactor*$H29</f>
        <v>1.5550072556550656E-2</v>
      </c>
      <c r="K201" s="280">
        <f t="shared" si="114"/>
        <v>1.5550072556550656E-2</v>
      </c>
      <c r="L201" s="280">
        <f t="shared" ref="L201:M201" si="115">ABS(L131 + L166)*(1-L88)*PowerFactor*$H29</f>
        <v>1.3486265290517229E-2</v>
      </c>
      <c r="M201" s="280">
        <f t="shared" si="115"/>
        <v>1.3486265290517229E-2</v>
      </c>
      <c r="N201" s="280">
        <f t="shared" ref="N201:P201" si="116">ABS(N131 + N166)*(1-N88)*PowerFactor*$H29</f>
        <v>0</v>
      </c>
      <c r="O201" s="280">
        <f t="shared" si="116"/>
        <v>0</v>
      </c>
      <c r="P201" s="280">
        <f t="shared" si="116"/>
        <v>0</v>
      </c>
      <c r="Q201" s="280">
        <f t="shared" ref="Q201:S201" si="117">ABS(Q131 + Q166)*(1-Q88)*PowerFactor*$H29</f>
        <v>1.53661785800627E-2</v>
      </c>
      <c r="R201" s="280">
        <f t="shared" si="117"/>
        <v>8.2671507968387278E-3</v>
      </c>
      <c r="S201" s="280">
        <f t="shared" si="117"/>
        <v>7.7826018321908302E-3</v>
      </c>
      <c r="T201" s="280">
        <f t="shared" ref="T201:U201" si="118">ABS(T131 + T166)*(1-T88)*PowerFactor*$H29</f>
        <v>8.2671507968387278E-3</v>
      </c>
      <c r="U201" s="280">
        <f t="shared" si="118"/>
        <v>8.2671507968387278E-3</v>
      </c>
      <c r="V201" s="280">
        <f t="shared" ref="V201:W201" si="119">ABS(V131 + V166)*(1-V88)*PowerFactor*$H29</f>
        <v>7.7826018321908302E-3</v>
      </c>
      <c r="W201" s="280">
        <f t="shared" si="119"/>
        <v>7.7826018321908302E-3</v>
      </c>
      <c r="X201" s="280">
        <f t="shared" ref="X201:Y201" si="120">ABS(X131 + X166)*(1-X88)*PowerFactor*$H29</f>
        <v>0</v>
      </c>
      <c r="Y201" s="280">
        <f t="shared" si="120"/>
        <v>0</v>
      </c>
      <c r="Z201" s="266"/>
      <c r="AA201" s="266"/>
    </row>
    <row r="202" spans="4:27" x14ac:dyDescent="0.25">
      <c r="F202" t="s">
        <v>199</v>
      </c>
      <c r="G202" t="s">
        <v>272</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2.5846398187940246E-2</v>
      </c>
      <c r="R202" s="280">
        <f t="shared" si="124"/>
        <v>1.3905609014077291E-2</v>
      </c>
      <c r="S202" s="280">
        <f t="shared" si="124"/>
        <v>0</v>
      </c>
      <c r="T202" s="280">
        <f t="shared" ref="T202:U202" si="125">ABS(T132 + T167)*(1-T89)*PowerFactor*$H30</f>
        <v>1.3905609014077291E-2</v>
      </c>
      <c r="U202" s="280">
        <f t="shared" si="125"/>
        <v>1.3905609014077291E-2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375</v>
      </c>
      <c r="G203" t="s">
        <v>272</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376</v>
      </c>
      <c r="G204" s="91" t="s">
        <v>272</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620</v>
      </c>
      <c r="J206" s="101"/>
      <c r="K206" s="101"/>
      <c r="L206" s="101"/>
      <c r="M206" s="101"/>
      <c r="N206" s="101"/>
      <c r="O206" s="101"/>
      <c r="P206" s="101"/>
      <c r="Q206" s="101"/>
      <c r="R206" s="101"/>
      <c r="S206" s="101"/>
      <c r="T206" s="101"/>
      <c r="U206" s="101"/>
      <c r="V206" s="101"/>
      <c r="W206" s="101"/>
      <c r="X206" s="101"/>
      <c r="Y206" s="101"/>
    </row>
    <row r="207" spans="4:27" x14ac:dyDescent="0.25">
      <c r="F207" s="90" t="s">
        <v>189</v>
      </c>
      <c r="G207" s="90" t="s">
        <v>272</v>
      </c>
      <c r="H207" s="264"/>
      <c r="I207" s="264"/>
      <c r="J207" s="279">
        <f t="shared" ref="J207:K207" si="128">ABS(J137 + J172)*(1-J81)*PowerFactor*$H22</f>
        <v>4.2813256976213257E-2</v>
      </c>
      <c r="K207" s="279">
        <f t="shared" si="128"/>
        <v>4.2813256976213257E-2</v>
      </c>
      <c r="L207" s="279">
        <f t="shared" ref="L207:M207" si="129">ABS(L137 + L172)*(1-L81)*PowerFactor*$H22</f>
        <v>3.713107700510803E-2</v>
      </c>
      <c r="M207" s="279">
        <f t="shared" si="129"/>
        <v>3.713107700510803E-2</v>
      </c>
      <c r="N207" s="279">
        <f t="shared" ref="N207:P207" si="130">ABS(N137 + N172)*(1-N81)*PowerFactor*$H22</f>
        <v>3.4401446532437159E-2</v>
      </c>
      <c r="O207" s="279">
        <f t="shared" si="130"/>
        <v>2.6644670305748741E-2</v>
      </c>
      <c r="P207" s="279">
        <f t="shared" si="130"/>
        <v>2.4739942267521482E-2</v>
      </c>
      <c r="Q207" s="279">
        <f t="shared" ref="Q207:S207" si="131">ABS(Q137 + Q172)*(1-Q81)*PowerFactor*$H22</f>
        <v>4.2306950652360134E-2</v>
      </c>
      <c r="R207" s="279">
        <f t="shared" si="131"/>
        <v>2.2761543410101944E-2</v>
      </c>
      <c r="S207" s="279">
        <f t="shared" si="131"/>
        <v>2.1427458359013916E-2</v>
      </c>
      <c r="T207" s="279">
        <f t="shared" ref="T207:U207" si="132">ABS(T137 + T172)*(1-T81)*PowerFactor*$H22</f>
        <v>2.2761543410101944E-2</v>
      </c>
      <c r="U207" s="279">
        <f t="shared" si="132"/>
        <v>2.2761543410101944E-2</v>
      </c>
      <c r="V207" s="279">
        <f t="shared" ref="V207:W207" si="133">ABS(V137 + V172)*(1-V81)*PowerFactor*$H22</f>
        <v>2.1427458359013916E-2</v>
      </c>
      <c r="W207" s="279">
        <f t="shared" si="133"/>
        <v>2.1427458359013916E-2</v>
      </c>
      <c r="X207" s="279">
        <f t="shared" ref="X207:Y207" si="134">ABS(X137 + X172)*(1-X81)*PowerFactor*$H22</f>
        <v>2.1037495036388184E-2</v>
      </c>
      <c r="Y207" s="279">
        <f t="shared" si="134"/>
        <v>2.1037495036388184E-2</v>
      </c>
      <c r="Z207" s="266"/>
      <c r="AA207" s="266"/>
    </row>
    <row r="208" spans="4:27" x14ac:dyDescent="0.25">
      <c r="F208" t="s">
        <v>191</v>
      </c>
      <c r="G208" t="s">
        <v>272</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192</v>
      </c>
      <c r="G209" t="s">
        <v>272</v>
      </c>
      <c r="H209" s="266"/>
      <c r="I209" s="266"/>
      <c r="J209" s="280">
        <f t="shared" ref="J209:K209" si="142">ABS(J139 + J174)*(1-J82)*PowerFactor*$H23</f>
        <v>0</v>
      </c>
      <c r="K209" s="280">
        <f t="shared" si="142"/>
        <v>0</v>
      </c>
      <c r="L209" s="280">
        <f t="shared" ref="L209:M209" si="143">ABS(L139 + L174)*(1-L82)*PowerFactor*$H23</f>
        <v>0</v>
      </c>
      <c r="M209" s="280">
        <f t="shared" si="143"/>
        <v>0</v>
      </c>
      <c r="N209" s="280">
        <f t="shared" ref="N209:P209" si="144">ABS(N139 + N174)*(1-N82)*PowerFactor*$H23</f>
        <v>0</v>
      </c>
      <c r="O209" s="280">
        <f t="shared" si="144"/>
        <v>0</v>
      </c>
      <c r="P209" s="280">
        <f t="shared" si="144"/>
        <v>0</v>
      </c>
      <c r="Q209" s="280">
        <f t="shared" ref="Q209:S209" si="145">ABS(Q139 + Q174)*(1-Q82)*PowerFactor*$H23</f>
        <v>0</v>
      </c>
      <c r="R209" s="280">
        <f t="shared" si="145"/>
        <v>0</v>
      </c>
      <c r="S209" s="280">
        <f t="shared" si="145"/>
        <v>0</v>
      </c>
      <c r="T209" s="280">
        <f t="shared" ref="T209:U209" si="146">ABS(T139 + T174)*(1-T82)*PowerFactor*$H23</f>
        <v>0</v>
      </c>
      <c r="U209" s="280">
        <f t="shared" si="146"/>
        <v>0</v>
      </c>
      <c r="V209" s="280">
        <f t="shared" ref="V209:W209" si="147">ABS(V139 + V174)*(1-V82)*PowerFactor*$H23</f>
        <v>0</v>
      </c>
      <c r="W209" s="280">
        <f t="shared" si="147"/>
        <v>0</v>
      </c>
      <c r="X209" s="280">
        <f t="shared" ref="X209:Y209" si="148">ABS(X139 + X174)*(1-X82)*PowerFactor*$H23</f>
        <v>0</v>
      </c>
      <c r="Y209" s="280">
        <f t="shared" si="148"/>
        <v>0</v>
      </c>
      <c r="Z209" s="266"/>
      <c r="AA209" s="266"/>
    </row>
    <row r="210" spans="3:27" x14ac:dyDescent="0.25">
      <c r="F210" t="s">
        <v>193</v>
      </c>
      <c r="G210" t="s">
        <v>272</v>
      </c>
      <c r="H210" s="266"/>
      <c r="I210" s="266"/>
      <c r="J210" s="280">
        <f t="shared" ref="J210:K210" si="149">ABS(J140 + J175)*(1-J83)*PowerFactor*$H24</f>
        <v>0</v>
      </c>
      <c r="K210" s="280">
        <f t="shared" si="149"/>
        <v>0</v>
      </c>
      <c r="L210" s="280">
        <f t="shared" ref="L210:M210" si="150">ABS(L140 + L175)*(1-L83)*PowerFactor*$H24</f>
        <v>0</v>
      </c>
      <c r="M210" s="280">
        <f t="shared" si="150"/>
        <v>0</v>
      </c>
      <c r="N210" s="280">
        <f t="shared" ref="N210:P210" si="151">ABS(N140 + N175)*(1-N83)*PowerFactor*$H24</f>
        <v>0</v>
      </c>
      <c r="O210" s="280">
        <f t="shared" si="151"/>
        <v>0</v>
      </c>
      <c r="P210" s="280">
        <f t="shared" si="151"/>
        <v>0</v>
      </c>
      <c r="Q210" s="280">
        <f t="shared" ref="Q210:S210" si="152">ABS(Q140 + Q175)*(1-Q83)*PowerFactor*$H24</f>
        <v>0</v>
      </c>
      <c r="R210" s="280">
        <f t="shared" si="152"/>
        <v>0</v>
      </c>
      <c r="S210" s="280">
        <f t="shared" si="152"/>
        <v>0</v>
      </c>
      <c r="T210" s="280">
        <f t="shared" ref="T210:U210" si="153">ABS(T140 + T175)*(1-T83)*PowerFactor*$H24</f>
        <v>0</v>
      </c>
      <c r="U210" s="280">
        <f t="shared" si="153"/>
        <v>0</v>
      </c>
      <c r="V210" s="280">
        <f t="shared" ref="V210:W210" si="154">ABS(V140 + V175)*(1-V83)*PowerFactor*$H24</f>
        <v>0</v>
      </c>
      <c r="W210" s="280">
        <f t="shared" si="154"/>
        <v>0</v>
      </c>
      <c r="X210" s="280">
        <f t="shared" ref="X210:Y210" si="155">ABS(X140 + X175)*(1-X83)*PowerFactor*$H24</f>
        <v>0</v>
      </c>
      <c r="Y210" s="280">
        <f t="shared" si="155"/>
        <v>0</v>
      </c>
      <c r="Z210" s="266"/>
      <c r="AA210" s="266"/>
    </row>
    <row r="211" spans="3:27" x14ac:dyDescent="0.25">
      <c r="F211" t="s">
        <v>194</v>
      </c>
      <c r="G211" t="s">
        <v>272</v>
      </c>
      <c r="H211" s="266"/>
      <c r="I211" s="266"/>
      <c r="J211" s="280">
        <f t="shared" ref="J211:K211" si="156">ABS(J141 + J176)*(1-J84)*PowerFactor*$H25</f>
        <v>5.2695321421850579E-2</v>
      </c>
      <c r="K211" s="280">
        <f t="shared" si="156"/>
        <v>5.2695321421850579E-2</v>
      </c>
      <c r="L211" s="280">
        <f t="shared" ref="L211:M211" si="157">ABS(L141 + L176)*(1-L84)*PowerFactor*$H25</f>
        <v>4.5701592817634598E-2</v>
      </c>
      <c r="M211" s="280">
        <f t="shared" si="157"/>
        <v>4.5701592817634598E-2</v>
      </c>
      <c r="N211" s="280">
        <f t="shared" ref="N211:P211" si="158">ABS(N141 + N176)*(1-N84)*PowerFactor*$H25</f>
        <v>4.2341914874884645E-2</v>
      </c>
      <c r="O211" s="280">
        <f t="shared" si="158"/>
        <v>3.2794736142609922E-2</v>
      </c>
      <c r="P211" s="280">
        <f t="shared" si="158"/>
        <v>2.4360290280543453E-2</v>
      </c>
      <c r="Q211" s="280">
        <f t="shared" ref="Q211:S211" si="159">ABS(Q141 + Q176)*(1-Q84)*PowerFactor*$H25</f>
        <v>5.2072150554747912E-2</v>
      </c>
      <c r="R211" s="280">
        <f t="shared" si="159"/>
        <v>2.8015314198569848E-2</v>
      </c>
      <c r="S211" s="280">
        <f t="shared" si="159"/>
        <v>2.6373298488103627E-2</v>
      </c>
      <c r="T211" s="280">
        <f t="shared" ref="T211:U211" si="160">ABS(T141 + T176)*(1-T84)*PowerFactor*$H25</f>
        <v>2.8015314198569848E-2</v>
      </c>
      <c r="U211" s="280">
        <f t="shared" si="160"/>
        <v>2.8015314198569848E-2</v>
      </c>
      <c r="V211" s="280">
        <f t="shared" ref="V211:W211" si="161">ABS(V141 + V176)*(1-V84)*PowerFactor*$H25</f>
        <v>2.6373298488103627E-2</v>
      </c>
      <c r="W211" s="280">
        <f t="shared" si="161"/>
        <v>2.6373298488103627E-2</v>
      </c>
      <c r="X211" s="280">
        <f t="shared" ref="X211:Y211" si="162">ABS(X141 + X176)*(1-X84)*PowerFactor*$H25</f>
        <v>2.5893324665044265E-2</v>
      </c>
      <c r="Y211" s="280">
        <f t="shared" si="162"/>
        <v>2.5893324665044265E-2</v>
      </c>
      <c r="Z211" s="266"/>
      <c r="AA211" s="266"/>
    </row>
    <row r="212" spans="3:27" x14ac:dyDescent="0.25">
      <c r="F212" t="s">
        <v>195</v>
      </c>
      <c r="G212" t="s">
        <v>272</v>
      </c>
      <c r="H212" s="266"/>
      <c r="I212" s="266"/>
      <c r="J212" s="280">
        <f t="shared" ref="J212:K212" si="163">ABS(J142 + J177)*(1-J85)*PowerFactor*$H26</f>
        <v>1.0779217550173704E-2</v>
      </c>
      <c r="K212" s="280">
        <f t="shared" si="163"/>
        <v>1.0779217550173704E-2</v>
      </c>
      <c r="L212" s="280">
        <f t="shared" ref="L212:M212" si="164">ABS(L142 + L177)*(1-L85)*PowerFactor*$H26</f>
        <v>9.3485986626218216E-3</v>
      </c>
      <c r="M212" s="280">
        <f t="shared" si="164"/>
        <v>9.3485986626218216E-3</v>
      </c>
      <c r="N212" s="280">
        <f t="shared" ref="N212:P212" si="165">ABS(N142 + N177)*(1-N85)*PowerFactor*$H26</f>
        <v>8.6613517028109842E-3</v>
      </c>
      <c r="O212" s="280">
        <f t="shared" si="165"/>
        <v>6.7084057150309795E-3</v>
      </c>
      <c r="P212" s="280">
        <f t="shared" si="165"/>
        <v>0</v>
      </c>
      <c r="Q212" s="280">
        <f t="shared" ref="Q212:S212" si="166">ABS(Q142 + Q177)*(1-Q85)*PowerFactor*$H26</f>
        <v>1.0651743342479723E-2</v>
      </c>
      <c r="R212" s="280">
        <f t="shared" si="166"/>
        <v>5.7307396242132916E-3</v>
      </c>
      <c r="S212" s="280">
        <f t="shared" si="166"/>
        <v>5.3948531719374918E-3</v>
      </c>
      <c r="T212" s="280">
        <f t="shared" ref="T212:U212" si="167">ABS(T142 + T177)*(1-T85)*PowerFactor*$H26</f>
        <v>5.7307396242132916E-3</v>
      </c>
      <c r="U212" s="280">
        <f t="shared" si="167"/>
        <v>5.7307396242132916E-3</v>
      </c>
      <c r="V212" s="280">
        <f t="shared" ref="V212:W212" si="168">ABS(V142 + V177)*(1-V85)*PowerFactor*$H26</f>
        <v>5.3948531719374918E-3</v>
      </c>
      <c r="W212" s="280">
        <f t="shared" si="168"/>
        <v>5.3948531719374918E-3</v>
      </c>
      <c r="X212" s="280">
        <f t="shared" ref="X212:Y212" si="169">ABS(X142 + X177)*(1-X85)*PowerFactor*$H26</f>
        <v>5.2966709781953327E-3</v>
      </c>
      <c r="Y212" s="280">
        <f t="shared" si="169"/>
        <v>5.2966709781953327E-3</v>
      </c>
      <c r="Z212" s="266"/>
      <c r="AA212" s="266"/>
    </row>
    <row r="213" spans="3:27" x14ac:dyDescent="0.25">
      <c r="F213" t="s">
        <v>196</v>
      </c>
      <c r="G213" t="s">
        <v>272</v>
      </c>
      <c r="H213" s="266"/>
      <c r="I213" s="266"/>
      <c r="J213" s="280">
        <f t="shared" ref="J213:K213" si="170">ABS(J143 + J178)*(1-J86)*PowerFactor*$H27</f>
        <v>0</v>
      </c>
      <c r="K213" s="280">
        <f t="shared" si="170"/>
        <v>0</v>
      </c>
      <c r="L213" s="280">
        <f t="shared" ref="L213:M213" si="171">ABS(L143 + L178)*(1-L86)*PowerFactor*$H27</f>
        <v>0</v>
      </c>
      <c r="M213" s="280">
        <f t="shared" si="171"/>
        <v>0</v>
      </c>
      <c r="N213" s="280">
        <f t="shared" ref="N213:P213" si="172">ABS(N143 + N178)*(1-N86)*PowerFactor*$H27</f>
        <v>0</v>
      </c>
      <c r="O213" s="280">
        <f t="shared" si="172"/>
        <v>0</v>
      </c>
      <c r="P213" s="280">
        <f t="shared" si="172"/>
        <v>0</v>
      </c>
      <c r="Q213" s="280">
        <f t="shared" ref="Q213:S213" si="173">ABS(Q143 + Q178)*(1-Q86)*PowerFactor*$H27</f>
        <v>0</v>
      </c>
      <c r="R213" s="280">
        <f t="shared" si="173"/>
        <v>0</v>
      </c>
      <c r="S213" s="280">
        <f t="shared" si="173"/>
        <v>0</v>
      </c>
      <c r="T213" s="280">
        <f t="shared" ref="T213:U213" si="174">ABS(T143 + T178)*(1-T86)*PowerFactor*$H27</f>
        <v>0</v>
      </c>
      <c r="U213" s="280">
        <f t="shared" si="174"/>
        <v>0</v>
      </c>
      <c r="V213" s="280">
        <f t="shared" ref="V213:W213" si="175">ABS(V143 + V178)*(1-V86)*PowerFactor*$H27</f>
        <v>0</v>
      </c>
      <c r="W213" s="280">
        <f t="shared" si="175"/>
        <v>0</v>
      </c>
      <c r="X213" s="280">
        <f t="shared" ref="X213:Y213" si="176">ABS(X143 + X178)*(1-X86)*PowerFactor*$H27</f>
        <v>0</v>
      </c>
      <c r="Y213" s="280">
        <f t="shared" si="176"/>
        <v>0</v>
      </c>
      <c r="Z213" s="266"/>
      <c r="AA213" s="266"/>
    </row>
    <row r="214" spans="3:27" x14ac:dyDescent="0.25">
      <c r="F214" t="s">
        <v>197</v>
      </c>
      <c r="G214" t="s">
        <v>272</v>
      </c>
      <c r="H214" s="266"/>
      <c r="I214" s="266"/>
      <c r="J214" s="280">
        <f t="shared" ref="J214:K214" si="177">ABS(J144 + J179)*(1-J87)*PowerFactor*$H28</f>
        <v>4.6372495876047297E-2</v>
      </c>
      <c r="K214" s="280">
        <f t="shared" si="177"/>
        <v>4.6372495876047297E-2</v>
      </c>
      <c r="L214" s="280">
        <f t="shared" ref="L214:M214" si="178">ABS(L144 + L179)*(1-L87)*PowerFactor*$H28</f>
        <v>4.0217933343618777E-2</v>
      </c>
      <c r="M214" s="280">
        <f t="shared" si="178"/>
        <v>4.0217933343618777E-2</v>
      </c>
      <c r="N214" s="280">
        <f t="shared" ref="N214:P214" si="179">ABS(N144 + N179)*(1-N87)*PowerFactor*$H28</f>
        <v>2.9809102135664761E-2</v>
      </c>
      <c r="O214" s="280">
        <f t="shared" si="179"/>
        <v>0</v>
      </c>
      <c r="P214" s="280">
        <f t="shared" si="179"/>
        <v>0</v>
      </c>
      <c r="Q214" s="280">
        <f t="shared" ref="Q214:S214" si="180">ABS(Q144 + Q179)*(1-Q87)*PowerFactor*$H28</f>
        <v>4.5824098263412022E-2</v>
      </c>
      <c r="R214" s="280">
        <f t="shared" si="180"/>
        <v>2.46538024076014E-2</v>
      </c>
      <c r="S214" s="280">
        <f t="shared" si="180"/>
        <v>2.3208809480194645E-2</v>
      </c>
      <c r="T214" s="280">
        <f t="shared" ref="T214:U214" si="181">ABS(T144 + T179)*(1-T87)*PowerFactor*$H28</f>
        <v>2.46538024076014E-2</v>
      </c>
      <c r="U214" s="280">
        <f t="shared" si="181"/>
        <v>2.46538024076014E-2</v>
      </c>
      <c r="V214" s="280">
        <f t="shared" ref="V214:W214" si="182">ABS(V144 + V179)*(1-V87)*PowerFactor*$H28</f>
        <v>2.3208809480194645E-2</v>
      </c>
      <c r="W214" s="280">
        <f t="shared" si="182"/>
        <v>2.3208809480194645E-2</v>
      </c>
      <c r="X214" s="280">
        <f t="shared" ref="X214:Y214" si="183">ABS(X144 + X179)*(1-X87)*PowerFactor*$H28</f>
        <v>2.2786426932183437E-2</v>
      </c>
      <c r="Y214" s="280">
        <f t="shared" si="183"/>
        <v>2.2786426932183437E-2</v>
      </c>
      <c r="Z214" s="266"/>
      <c r="AA214" s="266"/>
    </row>
    <row r="215" spans="3:27" x14ac:dyDescent="0.25">
      <c r="F215" t="s">
        <v>198</v>
      </c>
      <c r="G215" t="s">
        <v>272</v>
      </c>
      <c r="H215" s="266"/>
      <c r="I215" s="266"/>
      <c r="J215" s="280">
        <f t="shared" ref="J215:K215" si="184">ABS(J145 + J180)*(1-J88)*PowerFactor*$H29</f>
        <v>1.1654721270600202E-2</v>
      </c>
      <c r="K215" s="280">
        <f t="shared" si="184"/>
        <v>1.1654721270600202E-2</v>
      </c>
      <c r="L215" s="280">
        <f t="shared" ref="L215:M215" si="185">ABS(L145 + L180)*(1-L88)*PowerFactor*$H29</f>
        <v>1.0107905437144404E-2</v>
      </c>
      <c r="M215" s="280">
        <f t="shared" si="185"/>
        <v>1.0107905437144404E-2</v>
      </c>
      <c r="N215" s="280">
        <f t="shared" ref="N215:P215" si="186">ABS(N145 + N180)*(1-N88)*PowerFactor*$H29</f>
        <v>0</v>
      </c>
      <c r="O215" s="280">
        <f t="shared" si="186"/>
        <v>0</v>
      </c>
      <c r="P215" s="280">
        <f t="shared" si="186"/>
        <v>0</v>
      </c>
      <c r="Q215" s="280">
        <f t="shared" ref="Q215:S215" si="187">ABS(Q145 + Q180)*(1-Q88)*PowerFactor*$H29</f>
        <v>1.1516893422433247E-2</v>
      </c>
      <c r="R215" s="280">
        <f t="shared" si="187"/>
        <v>6.1961986279341552E-3</v>
      </c>
      <c r="S215" s="280">
        <f t="shared" si="187"/>
        <v>5.8330309896873376E-3</v>
      </c>
      <c r="T215" s="280">
        <f t="shared" ref="T215:U215" si="188">ABS(T145 + T180)*(1-T88)*PowerFactor*$H29</f>
        <v>6.1961986279341552E-3</v>
      </c>
      <c r="U215" s="280">
        <f t="shared" si="188"/>
        <v>6.1961986279341552E-3</v>
      </c>
      <c r="V215" s="280">
        <f t="shared" ref="V215:W215" si="189">ABS(V145 + V180)*(1-V88)*PowerFactor*$H29</f>
        <v>5.8330309896873376E-3</v>
      </c>
      <c r="W215" s="280">
        <f t="shared" si="189"/>
        <v>5.8330309896873376E-3</v>
      </c>
      <c r="X215" s="280">
        <f t="shared" ref="X215:Y215" si="190">ABS(X145 + X180)*(1-X88)*PowerFactor*$H29</f>
        <v>0</v>
      </c>
      <c r="Y215" s="280">
        <f t="shared" si="190"/>
        <v>0</v>
      </c>
      <c r="Z215" s="266"/>
      <c r="AA215" s="266"/>
    </row>
    <row r="216" spans="3:27" x14ac:dyDescent="0.25">
      <c r="F216" t="s">
        <v>199</v>
      </c>
      <c r="G216" t="s">
        <v>272</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1.9371778854015174E-2</v>
      </c>
      <c r="R216" s="280">
        <f t="shared" si="194"/>
        <v>1.0422201990867512E-2</v>
      </c>
      <c r="S216" s="280">
        <f t="shared" si="194"/>
        <v>0</v>
      </c>
      <c r="T216" s="280">
        <f t="shared" ref="T216:U216" si="195">ABS(T146 + T181)*(1-T89)*PowerFactor*$H30</f>
        <v>1.0422201990867512E-2</v>
      </c>
      <c r="U216" s="280">
        <f t="shared" si="195"/>
        <v>1.0422201990867512E-2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375</v>
      </c>
      <c r="G217" t="s">
        <v>272</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376</v>
      </c>
      <c r="G218" s="91" t="s">
        <v>272</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619</v>
      </c>
      <c r="J222" s="101"/>
      <c r="K222" s="101"/>
      <c r="L222" s="101"/>
      <c r="M222" s="101"/>
      <c r="N222" s="101"/>
      <c r="O222" s="101"/>
      <c r="P222" s="101"/>
      <c r="Q222" s="101"/>
      <c r="R222" s="101"/>
      <c r="S222" s="101"/>
      <c r="T222" s="101"/>
      <c r="U222" s="101"/>
      <c r="V222" s="101"/>
      <c r="W222" s="101"/>
      <c r="X222" s="101"/>
      <c r="Y222" s="101"/>
    </row>
    <row r="223" spans="3:27" x14ac:dyDescent="0.25">
      <c r="D223"/>
      <c r="F223" s="90" t="s">
        <v>189</v>
      </c>
      <c r="G223" s="90" t="s">
        <v>272</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191</v>
      </c>
      <c r="G224" t="s">
        <v>272</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192</v>
      </c>
      <c r="G225" t="s">
        <v>272</v>
      </c>
      <c r="H225" s="266"/>
      <c r="I225" s="266"/>
      <c r="J225" s="280">
        <f t="shared" ref="J225:K225" si="198">J$78 * J195</f>
        <v>0</v>
      </c>
      <c r="K225" s="280">
        <f t="shared" si="198"/>
        <v>0</v>
      </c>
      <c r="L225" s="280">
        <f t="shared" ref="L225:M225" si="199">L$78 * L195</f>
        <v>0</v>
      </c>
      <c r="M225" s="280">
        <f t="shared" si="199"/>
        <v>0</v>
      </c>
      <c r="N225" s="280">
        <f t="shared" ref="N225:P225" si="200">N$78 * N195</f>
        <v>0</v>
      </c>
      <c r="O225" s="280">
        <f t="shared" si="200"/>
        <v>0</v>
      </c>
      <c r="P225" s="280">
        <f t="shared" si="200"/>
        <v>0</v>
      </c>
      <c r="Q225" s="280">
        <f t="shared" ref="Q225:S225" si="201">Q$78 * Q195</f>
        <v>0</v>
      </c>
      <c r="R225" s="280">
        <f t="shared" si="201"/>
        <v>0</v>
      </c>
      <c r="S225" s="280">
        <f t="shared" si="201"/>
        <v>0</v>
      </c>
      <c r="T225" s="280">
        <f t="shared" ref="T225:U225" si="202">T$78 * T195</f>
        <v>0</v>
      </c>
      <c r="U225" s="280">
        <f t="shared" si="202"/>
        <v>0</v>
      </c>
      <c r="V225" s="280">
        <f t="shared" ref="V225:W225" si="203">V$78 * V195</f>
        <v>0</v>
      </c>
      <c r="W225" s="280">
        <f t="shared" si="203"/>
        <v>0</v>
      </c>
      <c r="X225" s="280">
        <f t="shared" ref="X225:Y225" si="204">X$78 * X195</f>
        <v>0</v>
      </c>
      <c r="Y225" s="280">
        <f t="shared" si="204"/>
        <v>0</v>
      </c>
      <c r="Z225" s="266"/>
      <c r="AA225" s="266"/>
    </row>
    <row r="226" spans="4:27" x14ac:dyDescent="0.25">
      <c r="D226"/>
      <c r="F226" t="s">
        <v>193</v>
      </c>
      <c r="G226" t="s">
        <v>272</v>
      </c>
      <c r="H226" s="266"/>
      <c r="I226" s="266"/>
      <c r="J226" s="280">
        <f t="shared" ref="J226:K226" si="205">J$78 * J196</f>
        <v>0</v>
      </c>
      <c r="K226" s="280">
        <f t="shared" si="205"/>
        <v>0</v>
      </c>
      <c r="L226" s="280">
        <f t="shared" ref="L226:M226" si="206">L$78 * L196</f>
        <v>0</v>
      </c>
      <c r="M226" s="280">
        <f t="shared" si="206"/>
        <v>0</v>
      </c>
      <c r="N226" s="280">
        <f t="shared" ref="N226:P226" si="207">N$78 * N196</f>
        <v>0</v>
      </c>
      <c r="O226" s="280">
        <f t="shared" si="207"/>
        <v>0</v>
      </c>
      <c r="P226" s="280">
        <f t="shared" si="207"/>
        <v>0</v>
      </c>
      <c r="Q226" s="280">
        <f t="shared" ref="Q226:S226" si="208">Q$78 * Q196</f>
        <v>0</v>
      </c>
      <c r="R226" s="280">
        <f t="shared" si="208"/>
        <v>0</v>
      </c>
      <c r="S226" s="280">
        <f t="shared" si="208"/>
        <v>0</v>
      </c>
      <c r="T226" s="280">
        <f t="shared" ref="T226:U226" si="209">T$78 * T196</f>
        <v>0</v>
      </c>
      <c r="U226" s="280">
        <f t="shared" si="209"/>
        <v>0</v>
      </c>
      <c r="V226" s="280">
        <f t="shared" ref="V226:W226" si="210">V$78 * V196</f>
        <v>0</v>
      </c>
      <c r="W226" s="280">
        <f t="shared" si="210"/>
        <v>0</v>
      </c>
      <c r="X226" s="280">
        <f t="shared" ref="X226:Y226" si="211">X$78 * X196</f>
        <v>0</v>
      </c>
      <c r="Y226" s="280">
        <f t="shared" si="211"/>
        <v>0</v>
      </c>
      <c r="Z226" s="266"/>
      <c r="AA226" s="266"/>
    </row>
    <row r="227" spans="4:27" x14ac:dyDescent="0.25">
      <c r="D227"/>
      <c r="F227" t="s">
        <v>194</v>
      </c>
      <c r="G227" t="s">
        <v>272</v>
      </c>
      <c r="H227" s="266"/>
      <c r="I227" s="266"/>
      <c r="J227" s="280">
        <f t="shared" ref="J227:K227" si="212">J$78 * J197</f>
        <v>0</v>
      </c>
      <c r="K227" s="280">
        <f t="shared" si="212"/>
        <v>0</v>
      </c>
      <c r="L227" s="280">
        <f t="shared" ref="L227:M227" si="213">L$78 * L197</f>
        <v>0</v>
      </c>
      <c r="M227" s="280">
        <f t="shared" si="213"/>
        <v>0</v>
      </c>
      <c r="N227" s="280">
        <f t="shared" ref="N227:P227" si="214">N$78 * N197</f>
        <v>5.6493830543048233E-2</v>
      </c>
      <c r="O227" s="280">
        <f t="shared" si="214"/>
        <v>4.3755703345469729E-2</v>
      </c>
      <c r="P227" s="280">
        <f t="shared" si="214"/>
        <v>3.2502217132952385E-2</v>
      </c>
      <c r="Q227" s="280">
        <f t="shared" ref="Q227:S227" si="215">Q$78 * Q197</f>
        <v>0</v>
      </c>
      <c r="R227" s="280">
        <f t="shared" si="215"/>
        <v>0</v>
      </c>
      <c r="S227" s="280">
        <f t="shared" si="215"/>
        <v>0</v>
      </c>
      <c r="T227" s="280">
        <f t="shared" ref="T227:U227" si="216">T$78 * T197</f>
        <v>3.7378857749370276E-2</v>
      </c>
      <c r="U227" s="280">
        <f t="shared" si="216"/>
        <v>0</v>
      </c>
      <c r="V227" s="280">
        <f t="shared" ref="V227:W227" si="217">V$78 * V197</f>
        <v>3.5188032002112325E-2</v>
      </c>
      <c r="W227" s="280">
        <f t="shared" si="217"/>
        <v>0</v>
      </c>
      <c r="X227" s="280">
        <f t="shared" ref="X227:Y227" si="218">X$78 * X197</f>
        <v>3.4547636783683069E-2</v>
      </c>
      <c r="Y227" s="280">
        <f t="shared" si="218"/>
        <v>0</v>
      </c>
      <c r="Z227" s="266"/>
      <c r="AA227" s="266"/>
    </row>
    <row r="228" spans="4:27" x14ac:dyDescent="0.25">
      <c r="D228"/>
      <c r="F228" t="s">
        <v>195</v>
      </c>
      <c r="G228" t="s">
        <v>272</v>
      </c>
      <c r="H228" s="266"/>
      <c r="I228" s="266"/>
      <c r="J228" s="280">
        <f t="shared" ref="J228:K228" si="219">J$78 * J198</f>
        <v>0</v>
      </c>
      <c r="K228" s="280">
        <f t="shared" si="219"/>
        <v>0</v>
      </c>
      <c r="L228" s="280">
        <f t="shared" ref="L228:M228" si="220">L$78 * L198</f>
        <v>0</v>
      </c>
      <c r="M228" s="280">
        <f t="shared" si="220"/>
        <v>0</v>
      </c>
      <c r="N228" s="280">
        <f t="shared" ref="N228:P228" si="221">N$78 * N198</f>
        <v>1.1556230671621913E-2</v>
      </c>
      <c r="O228" s="280">
        <f t="shared" si="221"/>
        <v>8.9505525859854985E-3</v>
      </c>
      <c r="P228" s="280">
        <f t="shared" si="221"/>
        <v>0</v>
      </c>
      <c r="Q228" s="280">
        <f t="shared" ref="Q228:S228" si="222">Q$78 * Q198</f>
        <v>0</v>
      </c>
      <c r="R228" s="280">
        <f t="shared" si="222"/>
        <v>0</v>
      </c>
      <c r="S228" s="280">
        <f t="shared" si="222"/>
        <v>0</v>
      </c>
      <c r="T228" s="280">
        <f t="shared" ref="T228:U228" si="223">T$78 * T198</f>
        <v>7.6461216780886031E-3</v>
      </c>
      <c r="U228" s="280">
        <f t="shared" si="223"/>
        <v>0</v>
      </c>
      <c r="V228" s="280">
        <f t="shared" ref="V228:W228" si="224">V$78 * V198</f>
        <v>7.1979720756758367E-3</v>
      </c>
      <c r="W228" s="280">
        <f t="shared" si="224"/>
        <v>0</v>
      </c>
      <c r="X228" s="280">
        <f t="shared" ref="X228:Y228" si="225">X$78 * X198</f>
        <v>7.0669744995859509E-3</v>
      </c>
      <c r="Y228" s="280">
        <f t="shared" si="225"/>
        <v>0</v>
      </c>
      <c r="Z228" s="266"/>
      <c r="AA228" s="266"/>
    </row>
    <row r="229" spans="4:27" x14ac:dyDescent="0.25">
      <c r="D229"/>
      <c r="F229" t="s">
        <v>196</v>
      </c>
      <c r="G229" t="s">
        <v>272</v>
      </c>
      <c r="H229" s="266"/>
      <c r="I229" s="266"/>
      <c r="J229" s="280">
        <f t="shared" ref="J229:K229" si="226">J$78 * J199</f>
        <v>0</v>
      </c>
      <c r="K229" s="280">
        <f t="shared" si="226"/>
        <v>0</v>
      </c>
      <c r="L229" s="280">
        <f t="shared" ref="L229:M229" si="227">L$78 * L199</f>
        <v>0</v>
      </c>
      <c r="M229" s="280">
        <f t="shared" si="227"/>
        <v>0</v>
      </c>
      <c r="N229" s="280">
        <f t="shared" ref="N229:P229" si="228">N$78 * N199</f>
        <v>0</v>
      </c>
      <c r="O229" s="280">
        <f t="shared" si="228"/>
        <v>0</v>
      </c>
      <c r="P229" s="280">
        <f t="shared" si="228"/>
        <v>0</v>
      </c>
      <c r="Q229" s="280">
        <f t="shared" ref="Q229:S229" si="229">Q$78 * Q199</f>
        <v>0</v>
      </c>
      <c r="R229" s="280">
        <f t="shared" si="229"/>
        <v>0</v>
      </c>
      <c r="S229" s="280">
        <f t="shared" si="229"/>
        <v>0</v>
      </c>
      <c r="T229" s="280">
        <f t="shared" ref="T229:U229" si="230">T$78 * T199</f>
        <v>0</v>
      </c>
      <c r="U229" s="280">
        <f t="shared" si="230"/>
        <v>0</v>
      </c>
      <c r="V229" s="280">
        <f t="shared" ref="V229:W229" si="231">V$78 * V199</f>
        <v>0</v>
      </c>
      <c r="W229" s="280">
        <f t="shared" si="231"/>
        <v>0</v>
      </c>
      <c r="X229" s="280">
        <f t="shared" ref="X229:Y229" si="232">X$78 * X199</f>
        <v>0</v>
      </c>
      <c r="Y229" s="280">
        <f t="shared" si="232"/>
        <v>0</v>
      </c>
      <c r="Z229" s="266"/>
      <c r="AA229" s="266"/>
    </row>
    <row r="230" spans="4:27" x14ac:dyDescent="0.25">
      <c r="D230"/>
      <c r="F230" t="s">
        <v>197</v>
      </c>
      <c r="G230" t="s">
        <v>272</v>
      </c>
      <c r="H230" s="266"/>
      <c r="I230" s="266"/>
      <c r="J230" s="280">
        <f t="shared" ref="J230:K230" si="233">J$78 * J200</f>
        <v>0</v>
      </c>
      <c r="K230" s="280">
        <f t="shared" si="233"/>
        <v>0</v>
      </c>
      <c r="L230" s="280">
        <f t="shared" ref="L230:M230" si="234">L$78 * L200</f>
        <v>0</v>
      </c>
      <c r="M230" s="280">
        <f t="shared" si="234"/>
        <v>0</v>
      </c>
      <c r="N230" s="280">
        <f t="shared" ref="N230:P230" si="235">N$78 * N200</f>
        <v>3.9772182473767966E-2</v>
      </c>
      <c r="O230" s="280">
        <f t="shared" si="235"/>
        <v>0</v>
      </c>
      <c r="P230" s="280">
        <f t="shared" si="235"/>
        <v>0</v>
      </c>
      <c r="Q230" s="280">
        <f t="shared" ref="Q230:S230" si="236">Q$78 * Q200</f>
        <v>0</v>
      </c>
      <c r="R230" s="280">
        <f t="shared" si="236"/>
        <v>0</v>
      </c>
      <c r="S230" s="280">
        <f t="shared" si="236"/>
        <v>0</v>
      </c>
      <c r="T230" s="280">
        <f t="shared" ref="T230:U230" si="237">T$78 * T200</f>
        <v>3.2893829661987443E-2</v>
      </c>
      <c r="U230" s="280">
        <f t="shared" si="237"/>
        <v>0</v>
      </c>
      <c r="V230" s="280">
        <f t="shared" ref="V230:W230" si="238">V$78 * V200</f>
        <v>3.0965877517687021E-2</v>
      </c>
      <c r="W230" s="280">
        <f t="shared" si="238"/>
        <v>0</v>
      </c>
      <c r="X230" s="280">
        <f t="shared" ref="X230:Y230" si="239">X$78 * X200</f>
        <v>3.0402322275506884E-2</v>
      </c>
      <c r="Y230" s="280">
        <f t="shared" si="239"/>
        <v>0</v>
      </c>
      <c r="Z230" s="266"/>
      <c r="AA230" s="266"/>
    </row>
    <row r="231" spans="4:27" x14ac:dyDescent="0.25">
      <c r="D231"/>
      <c r="F231" t="s">
        <v>198</v>
      </c>
      <c r="G231" t="s">
        <v>272</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8.2671507968387278E-3</v>
      </c>
      <c r="U231" s="280">
        <f t="shared" si="244"/>
        <v>0</v>
      </c>
      <c r="V231" s="280">
        <f t="shared" ref="V231:W231" si="245">V$78 * V201</f>
        <v>7.7826018321908302E-3</v>
      </c>
      <c r="W231" s="280">
        <f t="shared" si="245"/>
        <v>0</v>
      </c>
      <c r="X231" s="280">
        <f t="shared" ref="X231:Y231" si="246">X$78 * X201</f>
        <v>0</v>
      </c>
      <c r="Y231" s="280">
        <f t="shared" si="246"/>
        <v>0</v>
      </c>
      <c r="Z231" s="266"/>
      <c r="AA231" s="266"/>
    </row>
    <row r="232" spans="4:27" x14ac:dyDescent="0.25">
      <c r="D232"/>
      <c r="F232" t="s">
        <v>199</v>
      </c>
      <c r="G232" t="s">
        <v>272</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1.3905609014077291E-2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375</v>
      </c>
      <c r="G233" t="s">
        <v>272</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376</v>
      </c>
      <c r="G234" s="91" t="s">
        <v>272</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620</v>
      </c>
      <c r="J236" s="101"/>
      <c r="K236" s="101"/>
      <c r="L236" s="101"/>
      <c r="M236" s="101"/>
      <c r="N236" s="101"/>
      <c r="O236" s="101"/>
      <c r="P236" s="101"/>
      <c r="Q236" s="101"/>
      <c r="R236" s="101"/>
      <c r="S236" s="101"/>
      <c r="T236" s="101"/>
      <c r="U236" s="101"/>
      <c r="V236" s="101"/>
      <c r="W236" s="101"/>
      <c r="X236" s="101"/>
      <c r="Y236" s="101"/>
    </row>
    <row r="237" spans="4:27" x14ac:dyDescent="0.25">
      <c r="D237"/>
      <c r="F237" s="90" t="s">
        <v>189</v>
      </c>
      <c r="G237" s="90" t="s">
        <v>272</v>
      </c>
      <c r="H237" s="264"/>
      <c r="I237" s="264"/>
      <c r="J237" s="281">
        <f t="shared" ref="J237:K237" si="254">J$78 * J207</f>
        <v>0</v>
      </c>
      <c r="K237" s="281">
        <f t="shared" si="254"/>
        <v>0</v>
      </c>
      <c r="L237" s="281">
        <f t="shared" ref="L237:M237" si="255">L$78 * L207</f>
        <v>0</v>
      </c>
      <c r="M237" s="281">
        <f t="shared" si="255"/>
        <v>0</v>
      </c>
      <c r="N237" s="281">
        <f t="shared" ref="N237:P237" si="256">N$78 * N207</f>
        <v>3.4401446532437159E-2</v>
      </c>
      <c r="O237" s="281">
        <f t="shared" si="256"/>
        <v>2.6644670305748741E-2</v>
      </c>
      <c r="P237" s="281">
        <f t="shared" si="256"/>
        <v>2.4739942267521482E-2</v>
      </c>
      <c r="Q237" s="281">
        <f t="shared" ref="Q237:S237" si="257">Q$78 * Q207</f>
        <v>0</v>
      </c>
      <c r="R237" s="281">
        <f t="shared" si="257"/>
        <v>0</v>
      </c>
      <c r="S237" s="281">
        <f t="shared" si="257"/>
        <v>0</v>
      </c>
      <c r="T237" s="281">
        <f t="shared" ref="T237:U237" si="258">T$78 * T207</f>
        <v>2.2761543410101944E-2</v>
      </c>
      <c r="U237" s="281">
        <f t="shared" si="258"/>
        <v>0</v>
      </c>
      <c r="V237" s="281">
        <f t="shared" ref="V237:W237" si="259">V$78 * V207</f>
        <v>2.1427458359013916E-2</v>
      </c>
      <c r="W237" s="281">
        <f t="shared" si="259"/>
        <v>0</v>
      </c>
      <c r="X237" s="281">
        <f t="shared" ref="X237:Y237" si="260">X$78 * X207</f>
        <v>2.1037495036388184E-2</v>
      </c>
      <c r="Y237" s="281">
        <f t="shared" si="260"/>
        <v>0</v>
      </c>
      <c r="Z237" s="266"/>
      <c r="AA237" s="266"/>
    </row>
    <row r="238" spans="4:27" x14ac:dyDescent="0.25">
      <c r="D238"/>
      <c r="F238" t="s">
        <v>191</v>
      </c>
      <c r="G238" t="s">
        <v>272</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192</v>
      </c>
      <c r="G239" t="s">
        <v>272</v>
      </c>
      <c r="H239" s="266"/>
      <c r="I239" s="266"/>
      <c r="J239" s="280">
        <f t="shared" ref="J239:K239" si="268">J$78 * J209</f>
        <v>0</v>
      </c>
      <c r="K239" s="280">
        <f t="shared" si="268"/>
        <v>0</v>
      </c>
      <c r="L239" s="280">
        <f t="shared" ref="L239:M239" si="269">L$78 * L209</f>
        <v>0</v>
      </c>
      <c r="M239" s="280">
        <f t="shared" si="269"/>
        <v>0</v>
      </c>
      <c r="N239" s="280">
        <f t="shared" ref="N239:P239" si="270">N$78 * N209</f>
        <v>0</v>
      </c>
      <c r="O239" s="280">
        <f t="shared" si="270"/>
        <v>0</v>
      </c>
      <c r="P239" s="280">
        <f t="shared" si="270"/>
        <v>0</v>
      </c>
      <c r="Q239" s="280">
        <f t="shared" ref="Q239:S239" si="271">Q$78 * Q209</f>
        <v>0</v>
      </c>
      <c r="R239" s="280">
        <f t="shared" si="271"/>
        <v>0</v>
      </c>
      <c r="S239" s="280">
        <f t="shared" si="271"/>
        <v>0</v>
      </c>
      <c r="T239" s="280">
        <f t="shared" ref="T239:U239" si="272">T$78 * T209</f>
        <v>0</v>
      </c>
      <c r="U239" s="280">
        <f t="shared" si="272"/>
        <v>0</v>
      </c>
      <c r="V239" s="280">
        <f t="shared" ref="V239:W239" si="273">V$78 * V209</f>
        <v>0</v>
      </c>
      <c r="W239" s="280">
        <f t="shared" si="273"/>
        <v>0</v>
      </c>
      <c r="X239" s="280">
        <f t="shared" ref="X239:Y239" si="274">X$78 * X209</f>
        <v>0</v>
      </c>
      <c r="Y239" s="280">
        <f t="shared" si="274"/>
        <v>0</v>
      </c>
      <c r="Z239" s="266"/>
      <c r="AA239" s="266"/>
    </row>
    <row r="240" spans="4:27" x14ac:dyDescent="0.25">
      <c r="D240"/>
      <c r="F240" t="s">
        <v>193</v>
      </c>
      <c r="G240" t="s">
        <v>272</v>
      </c>
      <c r="H240" s="266"/>
      <c r="I240" s="266"/>
      <c r="J240" s="280">
        <f t="shared" ref="J240:K240" si="275">J$78 * J210</f>
        <v>0</v>
      </c>
      <c r="K240" s="280">
        <f t="shared" si="275"/>
        <v>0</v>
      </c>
      <c r="L240" s="280">
        <f t="shared" ref="L240:M240" si="276">L$78 * L210</f>
        <v>0</v>
      </c>
      <c r="M240" s="280">
        <f t="shared" si="276"/>
        <v>0</v>
      </c>
      <c r="N240" s="280">
        <f t="shared" ref="N240:P240" si="277">N$78 * N210</f>
        <v>0</v>
      </c>
      <c r="O240" s="280">
        <f t="shared" si="277"/>
        <v>0</v>
      </c>
      <c r="P240" s="280">
        <f t="shared" si="277"/>
        <v>0</v>
      </c>
      <c r="Q240" s="280">
        <f t="shared" ref="Q240:S240" si="278">Q$78 * Q210</f>
        <v>0</v>
      </c>
      <c r="R240" s="280">
        <f t="shared" si="278"/>
        <v>0</v>
      </c>
      <c r="S240" s="280">
        <f t="shared" si="278"/>
        <v>0</v>
      </c>
      <c r="T240" s="280">
        <f t="shared" ref="T240:U240" si="279">T$78 * T210</f>
        <v>0</v>
      </c>
      <c r="U240" s="280">
        <f t="shared" si="279"/>
        <v>0</v>
      </c>
      <c r="V240" s="280">
        <f t="shared" ref="V240:W240" si="280">V$78 * V210</f>
        <v>0</v>
      </c>
      <c r="W240" s="280">
        <f t="shared" si="280"/>
        <v>0</v>
      </c>
      <c r="X240" s="280">
        <f t="shared" ref="X240:Y240" si="281">X$78 * X210</f>
        <v>0</v>
      </c>
      <c r="Y240" s="280">
        <f t="shared" si="281"/>
        <v>0</v>
      </c>
      <c r="Z240" s="266"/>
      <c r="AA240" s="266"/>
    </row>
    <row r="241" spans="2:27" x14ac:dyDescent="0.25">
      <c r="D241"/>
      <c r="F241" t="s">
        <v>194</v>
      </c>
      <c r="G241" t="s">
        <v>272</v>
      </c>
      <c r="H241" s="266"/>
      <c r="I241" s="266"/>
      <c r="J241" s="280">
        <f t="shared" ref="J241:K241" si="282">J$78 * J211</f>
        <v>0</v>
      </c>
      <c r="K241" s="280">
        <f t="shared" si="282"/>
        <v>0</v>
      </c>
      <c r="L241" s="280">
        <f t="shared" ref="L241:M241" si="283">L$78 * L211</f>
        <v>0</v>
      </c>
      <c r="M241" s="280">
        <f t="shared" si="283"/>
        <v>0</v>
      </c>
      <c r="N241" s="280">
        <f t="shared" ref="N241:P241" si="284">N$78 * N211</f>
        <v>4.2341914874884645E-2</v>
      </c>
      <c r="O241" s="280">
        <f t="shared" si="284"/>
        <v>3.2794736142609922E-2</v>
      </c>
      <c r="P241" s="280">
        <f t="shared" si="284"/>
        <v>2.4360290280543453E-2</v>
      </c>
      <c r="Q241" s="280">
        <f t="shared" ref="Q241:S241" si="285">Q$78 * Q211</f>
        <v>0</v>
      </c>
      <c r="R241" s="280">
        <f t="shared" si="285"/>
        <v>0</v>
      </c>
      <c r="S241" s="280">
        <f t="shared" si="285"/>
        <v>0</v>
      </c>
      <c r="T241" s="280">
        <f t="shared" ref="T241:U241" si="286">T$78 * T211</f>
        <v>2.8015314198569848E-2</v>
      </c>
      <c r="U241" s="280">
        <f t="shared" si="286"/>
        <v>0</v>
      </c>
      <c r="V241" s="280">
        <f t="shared" ref="V241:W241" si="287">V$78 * V211</f>
        <v>2.6373298488103627E-2</v>
      </c>
      <c r="W241" s="280">
        <f t="shared" si="287"/>
        <v>0</v>
      </c>
      <c r="X241" s="280">
        <f t="shared" ref="X241:Y241" si="288">X$78 * X211</f>
        <v>2.5893324665044265E-2</v>
      </c>
      <c r="Y241" s="280">
        <f t="shared" si="288"/>
        <v>0</v>
      </c>
      <c r="Z241" s="266"/>
      <c r="AA241" s="266"/>
    </row>
    <row r="242" spans="2:27" x14ac:dyDescent="0.25">
      <c r="D242"/>
      <c r="F242" t="s">
        <v>195</v>
      </c>
      <c r="G242" t="s">
        <v>272</v>
      </c>
      <c r="H242" s="266"/>
      <c r="I242" s="266"/>
      <c r="J242" s="280">
        <f t="shared" ref="J242:K242" si="289">J$78 * J212</f>
        <v>0</v>
      </c>
      <c r="K242" s="280">
        <f t="shared" si="289"/>
        <v>0</v>
      </c>
      <c r="L242" s="280">
        <f t="shared" ref="L242:M242" si="290">L$78 * L212</f>
        <v>0</v>
      </c>
      <c r="M242" s="280">
        <f t="shared" si="290"/>
        <v>0</v>
      </c>
      <c r="N242" s="280">
        <f t="shared" ref="N242:P242" si="291">N$78 * N212</f>
        <v>8.6613517028109842E-3</v>
      </c>
      <c r="O242" s="280">
        <f t="shared" si="291"/>
        <v>6.7084057150309795E-3</v>
      </c>
      <c r="P242" s="280">
        <f t="shared" si="291"/>
        <v>0</v>
      </c>
      <c r="Q242" s="280">
        <f t="shared" ref="Q242:S242" si="292">Q$78 * Q212</f>
        <v>0</v>
      </c>
      <c r="R242" s="280">
        <f t="shared" si="292"/>
        <v>0</v>
      </c>
      <c r="S242" s="280">
        <f t="shared" si="292"/>
        <v>0</v>
      </c>
      <c r="T242" s="280">
        <f t="shared" ref="T242:U242" si="293">T$78 * T212</f>
        <v>5.7307396242132916E-3</v>
      </c>
      <c r="U242" s="280">
        <f t="shared" si="293"/>
        <v>0</v>
      </c>
      <c r="V242" s="280">
        <f t="shared" ref="V242:W242" si="294">V$78 * V212</f>
        <v>5.3948531719374918E-3</v>
      </c>
      <c r="W242" s="280">
        <f t="shared" si="294"/>
        <v>0</v>
      </c>
      <c r="X242" s="280">
        <f t="shared" ref="X242:Y242" si="295">X$78 * X212</f>
        <v>5.2966709781953327E-3</v>
      </c>
      <c r="Y242" s="280">
        <f t="shared" si="295"/>
        <v>0</v>
      </c>
      <c r="Z242" s="266"/>
      <c r="AA242" s="266"/>
    </row>
    <row r="243" spans="2:27" x14ac:dyDescent="0.25">
      <c r="D243"/>
      <c r="F243" t="s">
        <v>196</v>
      </c>
      <c r="G243" t="s">
        <v>272</v>
      </c>
      <c r="H243" s="266"/>
      <c r="I243" s="266"/>
      <c r="J243" s="280">
        <f t="shared" ref="J243:K243" si="296">J$78 * J213</f>
        <v>0</v>
      </c>
      <c r="K243" s="280">
        <f t="shared" si="296"/>
        <v>0</v>
      </c>
      <c r="L243" s="280">
        <f t="shared" ref="L243:M243" si="297">L$78 * L213</f>
        <v>0</v>
      </c>
      <c r="M243" s="280">
        <f t="shared" si="297"/>
        <v>0</v>
      </c>
      <c r="N243" s="280">
        <f t="shared" ref="N243:P243" si="298">N$78 * N213</f>
        <v>0</v>
      </c>
      <c r="O243" s="280">
        <f t="shared" si="298"/>
        <v>0</v>
      </c>
      <c r="P243" s="280">
        <f t="shared" si="298"/>
        <v>0</v>
      </c>
      <c r="Q243" s="280">
        <f t="shared" ref="Q243:S243" si="299">Q$78 * Q213</f>
        <v>0</v>
      </c>
      <c r="R243" s="280">
        <f t="shared" si="299"/>
        <v>0</v>
      </c>
      <c r="S243" s="280">
        <f t="shared" si="299"/>
        <v>0</v>
      </c>
      <c r="T243" s="280">
        <f t="shared" ref="T243:U243" si="300">T$78 * T213</f>
        <v>0</v>
      </c>
      <c r="U243" s="280">
        <f t="shared" si="300"/>
        <v>0</v>
      </c>
      <c r="V243" s="280">
        <f t="shared" ref="V243:W243" si="301">V$78 * V213</f>
        <v>0</v>
      </c>
      <c r="W243" s="280">
        <f t="shared" si="301"/>
        <v>0</v>
      </c>
      <c r="X243" s="280">
        <f t="shared" ref="X243:Y243" si="302">X$78 * X213</f>
        <v>0</v>
      </c>
      <c r="Y243" s="280">
        <f t="shared" si="302"/>
        <v>0</v>
      </c>
      <c r="Z243" s="266"/>
      <c r="AA243" s="266"/>
    </row>
    <row r="244" spans="2:27" x14ac:dyDescent="0.25">
      <c r="D244"/>
      <c r="F244" t="s">
        <v>197</v>
      </c>
      <c r="G244" t="s">
        <v>272</v>
      </c>
      <c r="H244" s="266"/>
      <c r="I244" s="266"/>
      <c r="J244" s="280">
        <f t="shared" ref="J244:K244" si="303">J$78 * J214</f>
        <v>0</v>
      </c>
      <c r="K244" s="280">
        <f t="shared" si="303"/>
        <v>0</v>
      </c>
      <c r="L244" s="280">
        <f t="shared" ref="L244:M244" si="304">L$78 * L214</f>
        <v>0</v>
      </c>
      <c r="M244" s="280">
        <f t="shared" si="304"/>
        <v>0</v>
      </c>
      <c r="N244" s="280">
        <f t="shared" ref="N244:P244" si="305">N$78 * N214</f>
        <v>2.9809102135664761E-2</v>
      </c>
      <c r="O244" s="280">
        <f t="shared" si="305"/>
        <v>0</v>
      </c>
      <c r="P244" s="280">
        <f t="shared" si="305"/>
        <v>0</v>
      </c>
      <c r="Q244" s="280">
        <f t="shared" ref="Q244:S244" si="306">Q$78 * Q214</f>
        <v>0</v>
      </c>
      <c r="R244" s="280">
        <f t="shared" si="306"/>
        <v>0</v>
      </c>
      <c r="S244" s="280">
        <f t="shared" si="306"/>
        <v>0</v>
      </c>
      <c r="T244" s="280">
        <f t="shared" ref="T244:U244" si="307">T$78 * T214</f>
        <v>2.46538024076014E-2</v>
      </c>
      <c r="U244" s="280">
        <f t="shared" si="307"/>
        <v>0</v>
      </c>
      <c r="V244" s="280">
        <f t="shared" ref="V244:W244" si="308">V$78 * V214</f>
        <v>2.3208809480194645E-2</v>
      </c>
      <c r="W244" s="280">
        <f t="shared" si="308"/>
        <v>0</v>
      </c>
      <c r="X244" s="280">
        <f t="shared" ref="X244:Y244" si="309">X$78 * X214</f>
        <v>2.2786426932183437E-2</v>
      </c>
      <c r="Y244" s="280">
        <f t="shared" si="309"/>
        <v>0</v>
      </c>
      <c r="Z244" s="266"/>
      <c r="AA244" s="266"/>
    </row>
    <row r="245" spans="2:27" x14ac:dyDescent="0.25">
      <c r="D245"/>
      <c r="F245" t="s">
        <v>198</v>
      </c>
      <c r="G245" t="s">
        <v>272</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6.1961986279341552E-3</v>
      </c>
      <c r="U245" s="280">
        <f t="shared" si="314"/>
        <v>0</v>
      </c>
      <c r="V245" s="280">
        <f t="shared" ref="V245:W245" si="315">V$78 * V215</f>
        <v>5.8330309896873376E-3</v>
      </c>
      <c r="W245" s="280">
        <f t="shared" si="315"/>
        <v>0</v>
      </c>
      <c r="X245" s="280">
        <f t="shared" ref="X245:Y245" si="316">X$78 * X215</f>
        <v>0</v>
      </c>
      <c r="Y245" s="280">
        <f t="shared" si="316"/>
        <v>0</v>
      </c>
      <c r="Z245" s="266"/>
      <c r="AA245" s="266"/>
    </row>
    <row r="246" spans="2:27" x14ac:dyDescent="0.25">
      <c r="D246"/>
      <c r="F246" t="s">
        <v>199</v>
      </c>
      <c r="G246" t="s">
        <v>272</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1.0422201990867512E-2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375</v>
      </c>
      <c r="G247" t="s">
        <v>272</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376</v>
      </c>
      <c r="G248" s="91" t="s">
        <v>272</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682</v>
      </c>
      <c r="G250" t="s">
        <v>272</v>
      </c>
      <c r="H250" s="266"/>
      <c r="I250" s="266" t="s">
        <v>154</v>
      </c>
      <c r="J250" s="295">
        <f t="shared" ref="J250:K250" si="324">SUM(J223:J234,J237:J248)</f>
        <v>0</v>
      </c>
      <c r="K250" s="295">
        <f t="shared" si="324"/>
        <v>0</v>
      </c>
      <c r="L250" s="295">
        <f t="shared" ref="L250:M250" si="325">SUM(L223:L234,L237:L248)</f>
        <v>0</v>
      </c>
      <c r="M250" s="295">
        <f t="shared" si="325"/>
        <v>0</v>
      </c>
      <c r="N250" s="295">
        <f t="shared" ref="N250:P250" si="326">SUM(N223:N234,N237:N248)</f>
        <v>0.22303605893423567</v>
      </c>
      <c r="O250" s="295">
        <f t="shared" si="326"/>
        <v>0.11885406809484486</v>
      </c>
      <c r="P250" s="295">
        <f t="shared" si="326"/>
        <v>8.1602449681017319E-2</v>
      </c>
      <c r="Q250" s="295">
        <f t="shared" ref="Q250:S250" si="327">SUM(Q223:Q234,Q237:Q248)</f>
        <v>0</v>
      </c>
      <c r="R250" s="295">
        <f t="shared" si="327"/>
        <v>0</v>
      </c>
      <c r="S250" s="295">
        <f t="shared" si="327"/>
        <v>0</v>
      </c>
      <c r="T250" s="295">
        <f t="shared" ref="T250:U250" si="328">SUM(T223:T234,T237:T248)</f>
        <v>0.19787136915965053</v>
      </c>
      <c r="U250" s="295">
        <f t="shared" si="328"/>
        <v>0</v>
      </c>
      <c r="V250" s="295">
        <f t="shared" ref="V250:W250" si="329">SUM(V223:V234,V237:V248)</f>
        <v>0.16337193391660304</v>
      </c>
      <c r="W250" s="295">
        <f t="shared" si="329"/>
        <v>0</v>
      </c>
      <c r="X250" s="295">
        <f t="shared" ref="X250:Y250" si="330">SUM(X223:X234,X237:X248)</f>
        <v>0.14703085117058712</v>
      </c>
      <c r="Y250" s="295">
        <f t="shared" si="330"/>
        <v>0</v>
      </c>
      <c r="Z250" s="266"/>
      <c r="AA250" s="266" t="s">
        <v>681</v>
      </c>
    </row>
    <row r="251" spans="2:27" x14ac:dyDescent="0.25">
      <c r="C251" s="100"/>
    </row>
    <row r="252" spans="2:27" x14ac:dyDescent="0.25">
      <c r="B252" s="70" t="s">
        <v>231</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232</v>
      </c>
      <c r="G254" s="6" t="s">
        <v>55</v>
      </c>
      <c r="H254" s="108">
        <f t="array" ref="H254">SUM(IF(ISERROR(H21:Y250), 1))</f>
        <v>0</v>
      </c>
    </row>
    <row r="256" spans="2:27" x14ac:dyDescent="0.25">
      <c r="B256" s="70" t="s">
        <v>106</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714</v>
      </c>
      <c r="E9"/>
    </row>
    <row r="10" spans="1:27" x14ac:dyDescent="0.25">
      <c r="D10" s="129" t="s">
        <v>715</v>
      </c>
      <c r="E10"/>
    </row>
    <row r="11" spans="1:27" x14ac:dyDescent="0.25">
      <c r="D11" s="71" t="s">
        <v>716</v>
      </c>
      <c r="E11"/>
    </row>
    <row r="12" spans="1:27" x14ac:dyDescent="0.25">
      <c r="D12" s="129" t="s">
        <v>717</v>
      </c>
      <c r="E12"/>
    </row>
    <row r="14" spans="1:27" x14ac:dyDescent="0.25">
      <c r="B14" s="70" t="s">
        <v>718</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154</v>
      </c>
      <c r="AA17" t="s">
        <v>719</v>
      </c>
    </row>
    <row r="18" spans="3:27" x14ac:dyDescent="0.25">
      <c r="C18" s="100"/>
      <c r="E18" t="s">
        <v>547</v>
      </c>
      <c r="G18" t="s">
        <v>212</v>
      </c>
      <c r="J18" s="163">
        <f>'Volume adjustments'!J275</f>
        <v>1933377.9905270939</v>
      </c>
      <c r="K18" s="163">
        <f>'Volume adjustments'!K275</f>
        <v>90264.674203310205</v>
      </c>
      <c r="L18" s="163">
        <f>'Volume adjustments'!L275</f>
        <v>126655.59643650094</v>
      </c>
      <c r="M18" s="163">
        <f>'Volume adjustments'!M275</f>
        <v>5142</v>
      </c>
      <c r="N18" s="163">
        <f>'Volume adjustments'!N275</f>
        <v>11567.657288044877</v>
      </c>
      <c r="O18" s="163">
        <f>'Volume adjustments'!O275</f>
        <v>312.74560352813916</v>
      </c>
      <c r="P18" s="163">
        <f>'Volume adjustments'!P275</f>
        <v>1304.7837403944643</v>
      </c>
      <c r="Q18" s="163">
        <f>'Volume adjustments'!Q275</f>
        <v>4926.735629790157</v>
      </c>
      <c r="R18" s="163">
        <f>'Volume adjustments'!R275</f>
        <v>14150.894574354708</v>
      </c>
      <c r="S18" s="163">
        <f>'Volume adjustments'!S275</f>
        <v>7</v>
      </c>
      <c r="T18" s="163">
        <f>'Volume adjustments'!T275</f>
        <v>549</v>
      </c>
      <c r="U18" s="163">
        <f>'Volume adjustments'!U275</f>
        <v>0</v>
      </c>
      <c r="V18" s="163">
        <f>'Volume adjustments'!V275</f>
        <v>9</v>
      </c>
      <c r="W18" s="163">
        <f>'Volume adjustments'!W275</f>
        <v>0</v>
      </c>
      <c r="X18" s="163">
        <f>'Volume adjustments'!X275</f>
        <v>263</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469</v>
      </c>
      <c r="G20" t="s">
        <v>172</v>
      </c>
      <c r="H20" s="92"/>
      <c r="J20" s="163">
        <f>'System peak demand'!J200</f>
        <v>1431.5471517834731</v>
      </c>
      <c r="K20" s="163">
        <f>'System peak demand'!K200</f>
        <v>238.46178668086003</v>
      </c>
      <c r="L20" s="163">
        <f>'System peak demand'!L200</f>
        <v>548.38689228524061</v>
      </c>
      <c r="M20" s="163">
        <f>'System peak demand'!M200</f>
        <v>16.511957696341732</v>
      </c>
      <c r="N20" s="163">
        <f>'System peak demand'!N200</f>
        <v>538.63315719911986</v>
      </c>
      <c r="O20" s="163">
        <f>'System peak demand'!O200</f>
        <v>47.253300574738418</v>
      </c>
      <c r="P20" s="163">
        <f>'System peak demand'!P200</f>
        <v>508.04251470018539</v>
      </c>
      <c r="Q20" s="163">
        <f>'System peak demand'!Q200</f>
        <v>49.301316382481154</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154</v>
      </c>
      <c r="J23" s="101"/>
      <c r="K23" s="101"/>
      <c r="L23" s="101"/>
      <c r="M23" s="101"/>
      <c r="N23" s="101"/>
      <c r="O23" s="101"/>
      <c r="P23" s="101"/>
      <c r="Q23" s="101"/>
      <c r="R23" s="101"/>
      <c r="S23" s="101"/>
      <c r="T23" s="101"/>
      <c r="U23" s="101"/>
      <c r="V23" s="101"/>
      <c r="W23" s="101"/>
      <c r="X23" s="101"/>
      <c r="Y23" s="101"/>
      <c r="AA23" t="s">
        <v>719</v>
      </c>
    </row>
    <row r="24" spans="3:27" x14ac:dyDescent="0.25">
      <c r="C24" s="100"/>
      <c r="E24" s="60" t="s">
        <v>619</v>
      </c>
      <c r="J24" s="101"/>
      <c r="K24" s="101"/>
      <c r="L24" s="101"/>
      <c r="M24" s="101"/>
      <c r="N24" s="101"/>
      <c r="O24" s="101"/>
      <c r="P24" s="101"/>
      <c r="Q24" s="101"/>
      <c r="R24" s="101"/>
      <c r="S24" s="101"/>
      <c r="T24" s="101"/>
      <c r="U24" s="101"/>
      <c r="V24" s="101"/>
      <c r="W24" s="101"/>
      <c r="X24" s="101"/>
      <c r="Y24" s="101"/>
    </row>
    <row r="25" spans="3:27" x14ac:dyDescent="0.25">
      <c r="C25" s="100"/>
      <c r="E25" s="71"/>
      <c r="F25" s="90" t="s">
        <v>189</v>
      </c>
      <c r="G25" s="90" t="s">
        <v>271</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191</v>
      </c>
      <c r="G26" t="s">
        <v>271</v>
      </c>
      <c r="J26" s="114"/>
      <c r="K26" s="114"/>
      <c r="L26" s="114"/>
      <c r="M26" s="114"/>
      <c r="N26" s="114"/>
      <c r="O26" s="114"/>
      <c r="P26" s="114"/>
      <c r="Q26" s="114"/>
      <c r="R26" s="114"/>
      <c r="S26" s="114"/>
      <c r="T26" s="114"/>
      <c r="U26" s="114"/>
      <c r="V26" s="114"/>
      <c r="W26" s="114"/>
      <c r="X26" s="114"/>
      <c r="Y26" s="114"/>
    </row>
    <row r="27" spans="3:27" x14ac:dyDescent="0.25">
      <c r="C27" s="100"/>
      <c r="E27" s="71"/>
      <c r="F27" t="s">
        <v>192</v>
      </c>
      <c r="G27" t="s">
        <v>271</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193</v>
      </c>
      <c r="G28" t="s">
        <v>271</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194</v>
      </c>
      <c r="G29" t="s">
        <v>271</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195</v>
      </c>
      <c r="G30" t="s">
        <v>271</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196</v>
      </c>
      <c r="G31" t="s">
        <v>271</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197</v>
      </c>
      <c r="G32" t="s">
        <v>271</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198</v>
      </c>
      <c r="G33" t="s">
        <v>271</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199</v>
      </c>
      <c r="G34" t="s">
        <v>271</v>
      </c>
      <c r="J34" s="163">
        <f>'Capacity charges'!J271</f>
        <v>1.3553384914244866</v>
      </c>
      <c r="K34" s="163">
        <f>'Capacity charges'!K271</f>
        <v>0</v>
      </c>
      <c r="L34" s="163">
        <f>'Capacity charges'!L271</f>
        <v>1.3553384914244866</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375</v>
      </c>
      <c r="G35" t="s">
        <v>271</v>
      </c>
      <c r="J35" s="114"/>
      <c r="K35" s="114"/>
      <c r="L35" s="114"/>
      <c r="M35" s="114"/>
      <c r="N35" s="114"/>
      <c r="O35" s="114"/>
      <c r="P35" s="114"/>
      <c r="Q35" s="114"/>
      <c r="R35" s="114"/>
      <c r="S35" s="114"/>
      <c r="T35" s="114"/>
      <c r="U35" s="114"/>
      <c r="V35" s="114"/>
      <c r="W35" s="114"/>
      <c r="X35" s="114"/>
      <c r="Y35" s="114"/>
    </row>
    <row r="36" spans="3:25" x14ac:dyDescent="0.25">
      <c r="C36" s="100"/>
      <c r="E36" s="71"/>
      <c r="F36" s="91" t="s">
        <v>376</v>
      </c>
      <c r="G36" s="91" t="s">
        <v>271</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620</v>
      </c>
      <c r="J38" s="101"/>
      <c r="K38" s="101"/>
      <c r="L38" s="101"/>
      <c r="M38" s="101"/>
      <c r="N38" s="101"/>
      <c r="O38" s="101"/>
      <c r="P38" s="101"/>
      <c r="Q38" s="101"/>
      <c r="R38" s="101"/>
      <c r="S38" s="101"/>
      <c r="T38" s="101"/>
      <c r="U38" s="101"/>
      <c r="V38" s="101"/>
      <c r="W38" s="101"/>
      <c r="X38" s="101"/>
      <c r="Y38" s="101"/>
    </row>
    <row r="39" spans="3:25" x14ac:dyDescent="0.25">
      <c r="C39" s="100"/>
      <c r="F39" s="90" t="s">
        <v>189</v>
      </c>
      <c r="G39" s="90" t="s">
        <v>271</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191</v>
      </c>
      <c r="G40" t="s">
        <v>271</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192</v>
      </c>
      <c r="G41" t="s">
        <v>271</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193</v>
      </c>
      <c r="G42" t="s">
        <v>271</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194</v>
      </c>
      <c r="G43" t="s">
        <v>271</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195</v>
      </c>
      <c r="G44" t="s">
        <v>271</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196</v>
      </c>
      <c r="G45" t="s">
        <v>271</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197</v>
      </c>
      <c r="G46" t="s">
        <v>271</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198</v>
      </c>
      <c r="G47" t="s">
        <v>271</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199</v>
      </c>
      <c r="G48" t="s">
        <v>271</v>
      </c>
      <c r="J48" s="163">
        <f>'Capacity charges'!J285</f>
        <v>1.015821134430261</v>
      </c>
      <c r="K48" s="163">
        <f>'Capacity charges'!K285</f>
        <v>0</v>
      </c>
      <c r="L48" s="163">
        <f>'Capacity charges'!L285</f>
        <v>1.015821134430261</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375</v>
      </c>
      <c r="G49" t="s">
        <v>271</v>
      </c>
      <c r="J49" s="114"/>
      <c r="K49" s="114"/>
      <c r="L49" s="114"/>
      <c r="M49" s="114"/>
      <c r="N49" s="114"/>
      <c r="O49" s="114"/>
      <c r="P49" s="114"/>
      <c r="Q49" s="114"/>
      <c r="R49" s="114"/>
      <c r="S49" s="114"/>
      <c r="T49" s="114"/>
      <c r="U49" s="114"/>
      <c r="V49" s="114"/>
      <c r="W49" s="114"/>
      <c r="X49" s="114"/>
      <c r="Y49" s="114"/>
    </row>
    <row r="50" spans="3:27" x14ac:dyDescent="0.25">
      <c r="C50" s="100"/>
      <c r="F50" s="91" t="s">
        <v>376</v>
      </c>
      <c r="G50" s="91" t="s">
        <v>271</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620</v>
      </c>
      <c r="I54" t="s">
        <v>154</v>
      </c>
      <c r="J54" s="101"/>
      <c r="K54" s="101"/>
      <c r="L54" s="101"/>
      <c r="M54" s="101"/>
      <c r="N54" s="101"/>
      <c r="O54" s="101"/>
      <c r="P54" s="101"/>
      <c r="Q54" s="101"/>
      <c r="R54" s="101"/>
      <c r="S54" s="101"/>
      <c r="T54" s="101"/>
      <c r="U54" s="101"/>
      <c r="V54" s="101"/>
      <c r="W54" s="101"/>
      <c r="X54" s="101"/>
      <c r="Y54" s="101"/>
      <c r="AA54" t="s">
        <v>720</v>
      </c>
    </row>
    <row r="55" spans="3:27" x14ac:dyDescent="0.25">
      <c r="C55" s="100"/>
      <c r="D55"/>
      <c r="F55" s="90" t="s">
        <v>375</v>
      </c>
      <c r="G55" s="90" t="s">
        <v>270</v>
      </c>
      <c r="H55" s="90"/>
      <c r="I55" s="90"/>
      <c r="J55" s="167">
        <f>'Service model charges'!J42</f>
        <v>4.4581830760095587</v>
      </c>
      <c r="K55" s="167">
        <f>'Service model charges'!K42</f>
        <v>0</v>
      </c>
      <c r="L55" s="167">
        <f>'Service model charges'!L42</f>
        <v>6.0050321416993988</v>
      </c>
      <c r="M55" s="167">
        <f>'Service model charges'!M42</f>
        <v>0</v>
      </c>
      <c r="N55" s="167">
        <f>'Service model charges'!N42</f>
        <v>28.092337095321017</v>
      </c>
      <c r="O55" s="167">
        <f>'Service model charges'!O42</f>
        <v>9.9149425042309467</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376</v>
      </c>
      <c r="G56" s="91" t="s">
        <v>270</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150.1181966569537</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109.61913218665811</v>
      </c>
      <c r="Y56" s="168">
        <f>'Service model charges'!Y43</f>
        <v>109.61913218665811</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721</v>
      </c>
      <c r="E60"/>
    </row>
    <row r="61" spans="3:27" x14ac:dyDescent="0.25">
      <c r="D61" s="71" t="s">
        <v>722</v>
      </c>
      <c r="E61"/>
    </row>
    <row r="62" spans="3:27" x14ac:dyDescent="0.25">
      <c r="D62" s="71"/>
      <c r="E62"/>
    </row>
    <row r="63" spans="3:27" x14ac:dyDescent="0.25">
      <c r="E63" t="s">
        <v>723</v>
      </c>
      <c r="G63" t="s">
        <v>149</v>
      </c>
      <c r="I63" t="s">
        <v>154</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724</v>
      </c>
    </row>
    <row r="65" spans="2:27" x14ac:dyDescent="0.25">
      <c r="B65" s="70" t="s">
        <v>725</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154</v>
      </c>
      <c r="J68" s="101"/>
      <c r="K68" s="101"/>
      <c r="L68" s="101"/>
      <c r="M68" s="101"/>
      <c r="N68" s="101"/>
      <c r="O68" s="101"/>
      <c r="P68" s="101"/>
      <c r="Q68" s="101"/>
      <c r="R68" s="101"/>
      <c r="S68" s="101"/>
      <c r="T68" s="101"/>
      <c r="U68" s="101"/>
      <c r="V68" s="101"/>
      <c r="W68" s="101"/>
      <c r="X68" s="101"/>
      <c r="Y68" s="101"/>
      <c r="AA68" t="s">
        <v>724</v>
      </c>
    </row>
    <row r="69" spans="2:27" x14ac:dyDescent="0.25">
      <c r="C69" s="100"/>
      <c r="D69"/>
      <c r="E69" s="60" t="s">
        <v>619</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189</v>
      </c>
      <c r="G70" s="90" t="s">
        <v>726</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191</v>
      </c>
      <c r="G71" t="s">
        <v>726</v>
      </c>
      <c r="J71" s="114"/>
      <c r="K71" s="114"/>
      <c r="L71" s="114"/>
      <c r="M71" s="114"/>
      <c r="N71" s="114"/>
      <c r="O71" s="114"/>
      <c r="P71" s="114"/>
      <c r="Q71" s="114"/>
      <c r="R71" s="114"/>
      <c r="S71" s="114"/>
      <c r="T71" s="114"/>
      <c r="U71" s="114"/>
      <c r="V71" s="114"/>
      <c r="W71" s="114"/>
      <c r="X71" s="114"/>
      <c r="Y71" s="114"/>
    </row>
    <row r="72" spans="2:27" x14ac:dyDescent="0.25">
      <c r="C72" s="100"/>
      <c r="D72"/>
      <c r="E72" s="71"/>
      <c r="F72" t="s">
        <v>192</v>
      </c>
      <c r="G72" t="s">
        <v>726</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193</v>
      </c>
      <c r="G73" t="s">
        <v>726</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194</v>
      </c>
      <c r="G74" t="s">
        <v>726</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195</v>
      </c>
      <c r="G75" t="s">
        <v>726</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196</v>
      </c>
      <c r="G76" t="s">
        <v>726</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197</v>
      </c>
      <c r="G77" t="s">
        <v>726</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198</v>
      </c>
      <c r="G78" t="s">
        <v>726</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199</v>
      </c>
      <c r="G79" t="s">
        <v>726</v>
      </c>
      <c r="J79" s="141">
        <f t="shared" ref="J79:K79" si="49">J$20 * J34 * thousand / PowerFactor</f>
        <v>2042348.3758960348</v>
      </c>
      <c r="K79" s="141">
        <f t="shared" si="49"/>
        <v>0</v>
      </c>
      <c r="L79" s="141">
        <f t="shared" ref="L79:M79" si="50">L$20 * L34 * thousand / PowerFactor</f>
        <v>782368.27716509521</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375</v>
      </c>
      <c r="G80" t="s">
        <v>726</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376</v>
      </c>
      <c r="G81" s="91" t="s">
        <v>726</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620</v>
      </c>
      <c r="J83" s="101"/>
      <c r="K83" s="101"/>
      <c r="L83" s="101"/>
      <c r="M83" s="101"/>
      <c r="N83" s="101"/>
      <c r="O83" s="101"/>
      <c r="P83" s="101"/>
      <c r="Q83" s="101"/>
      <c r="R83" s="101"/>
      <c r="S83" s="101"/>
      <c r="T83" s="101"/>
      <c r="U83" s="101"/>
      <c r="V83" s="101"/>
      <c r="W83" s="101"/>
      <c r="X83" s="101"/>
      <c r="Y83" s="101"/>
    </row>
    <row r="84" spans="3:25" x14ac:dyDescent="0.25">
      <c r="C84" s="100"/>
      <c r="D84"/>
      <c r="F84" s="90" t="s">
        <v>189</v>
      </c>
      <c r="G84" s="90" t="s">
        <v>726</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191</v>
      </c>
      <c r="G85" t="s">
        <v>726</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192</v>
      </c>
      <c r="G86" t="s">
        <v>726</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193</v>
      </c>
      <c r="G87" t="s">
        <v>726</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194</v>
      </c>
      <c r="G88" t="s">
        <v>726</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195</v>
      </c>
      <c r="G89" t="s">
        <v>726</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196</v>
      </c>
      <c r="G90" t="s">
        <v>726</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197</v>
      </c>
      <c r="G91" t="s">
        <v>726</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198</v>
      </c>
      <c r="G92" t="s">
        <v>726</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199</v>
      </c>
      <c r="G93" t="s">
        <v>726</v>
      </c>
      <c r="J93" s="141">
        <f t="shared" ref="J93:K93" si="119">J$20 * J48 * thousand / PowerFactor</f>
        <v>1530732.4754895756</v>
      </c>
      <c r="K93" s="141">
        <f t="shared" si="119"/>
        <v>0</v>
      </c>
      <c r="L93" s="141">
        <f t="shared" ref="L93:M93" si="120">L$20 * L48 * thousand / PowerFactor</f>
        <v>586382.10002934583</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375</v>
      </c>
      <c r="G94" t="s">
        <v>726</v>
      </c>
      <c r="J94" s="114"/>
      <c r="K94" s="114"/>
      <c r="L94" s="114"/>
      <c r="M94" s="114"/>
      <c r="N94" s="114"/>
      <c r="O94" s="114"/>
      <c r="P94" s="114"/>
      <c r="Q94" s="114"/>
      <c r="R94" s="114"/>
      <c r="S94" s="114"/>
      <c r="T94" s="114"/>
      <c r="U94" s="114"/>
      <c r="V94" s="114"/>
      <c r="W94" s="114"/>
      <c r="X94" s="114"/>
      <c r="Y94" s="114"/>
    </row>
    <row r="95" spans="3:25" x14ac:dyDescent="0.25">
      <c r="C95" s="100"/>
      <c r="D95"/>
      <c r="F95" s="91" t="s">
        <v>376</v>
      </c>
      <c r="G95" s="91" t="s">
        <v>726</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154</v>
      </c>
      <c r="J98" s="101"/>
      <c r="K98" s="101"/>
      <c r="L98" s="101"/>
      <c r="M98" s="101"/>
      <c r="N98" s="101"/>
      <c r="O98" s="101"/>
      <c r="P98" s="101"/>
      <c r="Q98" s="101"/>
      <c r="R98" s="101"/>
      <c r="S98" s="101"/>
      <c r="T98" s="101"/>
      <c r="U98" s="101"/>
      <c r="V98" s="101"/>
      <c r="W98" s="101"/>
      <c r="X98" s="101"/>
      <c r="Y98" s="101"/>
      <c r="AA98" t="s">
        <v>724</v>
      </c>
    </row>
    <row r="99" spans="3:27" x14ac:dyDescent="0.25">
      <c r="C99" s="100"/>
      <c r="D99"/>
      <c r="E99" s="60" t="s">
        <v>619</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189</v>
      </c>
      <c r="G100" s="90" t="s">
        <v>726</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191</v>
      </c>
      <c r="G101" t="s">
        <v>726</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192</v>
      </c>
      <c r="G102" t="s">
        <v>726</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193</v>
      </c>
      <c r="G103" t="s">
        <v>726</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194</v>
      </c>
      <c r="G104" t="s">
        <v>726</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195</v>
      </c>
      <c r="G105" t="s">
        <v>726</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196</v>
      </c>
      <c r="G106" t="s">
        <v>726</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197</v>
      </c>
      <c r="G107" t="s">
        <v>726</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198</v>
      </c>
      <c r="G108" t="s">
        <v>726</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199</v>
      </c>
      <c r="G109" t="s">
        <v>726</v>
      </c>
      <c r="J109" s="141">
        <f t="shared" ref="J109:Y109" si="133">SUMIFS($J79:$Y79,$J$63:$Y$63,J$63)</f>
        <v>2824716.6530611301</v>
      </c>
      <c r="K109" s="141">
        <f t="shared" si="133"/>
        <v>0</v>
      </c>
      <c r="L109" s="141">
        <f t="shared" si="133"/>
        <v>2824716.6530611301</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375</v>
      </c>
      <c r="G110" t="s">
        <v>726</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376</v>
      </c>
      <c r="G111" s="91" t="s">
        <v>726</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620</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189</v>
      </c>
      <c r="G114" s="90" t="s">
        <v>726</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191</v>
      </c>
      <c r="G115" t="s">
        <v>726</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192</v>
      </c>
      <c r="G116" t="s">
        <v>726</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193</v>
      </c>
      <c r="G117" t="s">
        <v>726</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194</v>
      </c>
      <c r="G118" t="s">
        <v>726</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195</v>
      </c>
      <c r="G119" t="s">
        <v>726</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196</v>
      </c>
      <c r="G120" t="s">
        <v>726</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197</v>
      </c>
      <c r="G121" t="s">
        <v>726</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198</v>
      </c>
      <c r="G122" t="s">
        <v>726</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199</v>
      </c>
      <c r="G123" t="s">
        <v>726</v>
      </c>
      <c r="J123" s="141">
        <f t="shared" ref="J123:Y123" si="143">SUMIFS($J93:$Y93,$J$63:$Y$63,J$63)</f>
        <v>2117114.5755189215</v>
      </c>
      <c r="K123" s="141">
        <f t="shared" si="143"/>
        <v>0</v>
      </c>
      <c r="L123" s="141">
        <f t="shared" si="143"/>
        <v>2117114.5755189215</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375</v>
      </c>
      <c r="G124" t="s">
        <v>726</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376</v>
      </c>
      <c r="G125" s="91" t="s">
        <v>726</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727</v>
      </c>
      <c r="G129" t="s">
        <v>212</v>
      </c>
      <c r="J129" s="101">
        <f t="shared" ref="J129:Y129" si="144">SUMIFS($J$18:$Y$18,$J$63:$Y$63,J63)</f>
        <v>2060033.5869635949</v>
      </c>
      <c r="K129" s="101">
        <f t="shared" si="144"/>
        <v>128497.49103942254</v>
      </c>
      <c r="L129" s="101">
        <f t="shared" si="144"/>
        <v>2060033.5869635949</v>
      </c>
      <c r="M129" s="101">
        <f t="shared" si="144"/>
        <v>128497.49103942254</v>
      </c>
      <c r="N129" s="101">
        <f t="shared" si="144"/>
        <v>128497.49103942254</v>
      </c>
      <c r="O129" s="101">
        <f t="shared" si="144"/>
        <v>128497.49103942254</v>
      </c>
      <c r="P129" s="101">
        <f t="shared" si="144"/>
        <v>128497.49103942254</v>
      </c>
      <c r="Q129" s="101">
        <f t="shared" si="144"/>
        <v>128497.49103942254</v>
      </c>
      <c r="R129" s="101">
        <f t="shared" si="144"/>
        <v>128497.49103942254</v>
      </c>
      <c r="S129" s="101">
        <f t="shared" si="144"/>
        <v>128497.49103942254</v>
      </c>
      <c r="T129" s="101">
        <f t="shared" si="144"/>
        <v>128497.49103942254</v>
      </c>
      <c r="U129" s="101">
        <f t="shared" si="144"/>
        <v>128497.49103942254</v>
      </c>
      <c r="V129" s="101">
        <f t="shared" si="144"/>
        <v>128497.49103942254</v>
      </c>
      <c r="W129" s="101">
        <f t="shared" si="144"/>
        <v>128497.49103942254</v>
      </c>
      <c r="X129" s="101">
        <f t="shared" si="144"/>
        <v>128497.49103942254</v>
      </c>
      <c r="Y129" s="101">
        <f t="shared" si="144"/>
        <v>128497.49103942254</v>
      </c>
    </row>
    <row r="130" spans="3:27" x14ac:dyDescent="0.25">
      <c r="D130"/>
      <c r="E130"/>
    </row>
    <row r="131" spans="3:27" x14ac:dyDescent="0.25">
      <c r="C131" s="100"/>
      <c r="E131" s="60" t="s">
        <v>619</v>
      </c>
      <c r="I131" t="s">
        <v>154</v>
      </c>
      <c r="J131" s="101"/>
      <c r="K131" s="101"/>
      <c r="L131" s="101"/>
      <c r="M131" s="101"/>
      <c r="N131" s="101"/>
      <c r="O131" s="101"/>
      <c r="P131" s="101"/>
      <c r="Q131" s="101"/>
      <c r="R131" s="101"/>
      <c r="S131" s="101"/>
      <c r="T131" s="101"/>
      <c r="U131" s="101"/>
      <c r="V131" s="101"/>
      <c r="W131" s="101"/>
      <c r="X131" s="101"/>
      <c r="Y131" s="101"/>
      <c r="AA131" t="s">
        <v>724</v>
      </c>
    </row>
    <row r="132" spans="3:27" x14ac:dyDescent="0.25">
      <c r="C132" s="100"/>
      <c r="E132" s="71"/>
      <c r="F132" s="90" t="s">
        <v>189</v>
      </c>
      <c r="G132" s="90" t="s">
        <v>270</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191</v>
      </c>
      <c r="G133" t="s">
        <v>270</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192</v>
      </c>
      <c r="G134" t="s">
        <v>270</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193</v>
      </c>
      <c r="G135" t="s">
        <v>270</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194</v>
      </c>
      <c r="G136" t="s">
        <v>270</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195</v>
      </c>
      <c r="G137" t="s">
        <v>270</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196</v>
      </c>
      <c r="G138" t="s">
        <v>270</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197</v>
      </c>
      <c r="G139" t="s">
        <v>270</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198</v>
      </c>
      <c r="G140" t="s">
        <v>270</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199</v>
      </c>
      <c r="G141" t="s">
        <v>270</v>
      </c>
      <c r="J141" s="141">
        <f t="shared" ref="J141:K141" si="208">IF(J$129 = 0, 0, J109 / J$129)</f>
        <v>1.3711993197279111</v>
      </c>
      <c r="K141" s="141">
        <f t="shared" si="208"/>
        <v>0</v>
      </c>
      <c r="L141" s="141">
        <f t="shared" ref="L141:M141" si="209">IF(L$129 = 0, 0, L109 / L$129)</f>
        <v>1.3711993197279111</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375</v>
      </c>
      <c r="G142" s="90" t="s">
        <v>270</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376</v>
      </c>
      <c r="G143" s="91" t="s">
        <v>270</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620</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189</v>
      </c>
      <c r="G146" s="90" t="s">
        <v>270</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191</v>
      </c>
      <c r="G147" t="s">
        <v>270</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192</v>
      </c>
      <c r="G148" t="s">
        <v>270</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193</v>
      </c>
      <c r="G149" t="s">
        <v>270</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194</v>
      </c>
      <c r="G150" t="s">
        <v>270</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195</v>
      </c>
      <c r="G151" t="s">
        <v>270</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196</v>
      </c>
      <c r="G152" t="s">
        <v>270</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197</v>
      </c>
      <c r="G153" t="s">
        <v>270</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198</v>
      </c>
      <c r="G154" t="s">
        <v>270</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199</v>
      </c>
      <c r="G155" t="s">
        <v>270</v>
      </c>
      <c r="J155" s="141">
        <f t="shared" ref="J155:K155" si="278">IF(J$129 = 0, 0, J123 / J$129)</f>
        <v>1.0277087659718509</v>
      </c>
      <c r="K155" s="141">
        <f t="shared" si="278"/>
        <v>0</v>
      </c>
      <c r="L155" s="141">
        <f t="shared" ref="L155:M155" si="279">IF(L$129 = 0, 0, L123 / L$129)</f>
        <v>1.0277087659718509</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375</v>
      </c>
      <c r="G156" s="90" t="s">
        <v>270</v>
      </c>
      <c r="H156" s="90"/>
      <c r="I156" s="90"/>
      <c r="J156" s="169">
        <f t="shared" ref="J156:K156" si="285">J55</f>
        <v>4.4581830760095587</v>
      </c>
      <c r="K156" s="169">
        <f t="shared" si="285"/>
        <v>0</v>
      </c>
      <c r="L156" s="169">
        <f t="shared" ref="L156:M156" si="286">L55</f>
        <v>6.0050321416993988</v>
      </c>
      <c r="M156" s="169">
        <f t="shared" si="286"/>
        <v>0</v>
      </c>
      <c r="N156" s="169">
        <f t="shared" ref="N156:P156" si="287">N55</f>
        <v>28.092337095321017</v>
      </c>
      <c r="O156" s="169">
        <f t="shared" si="287"/>
        <v>9.9149425042309467</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376</v>
      </c>
      <c r="G157" s="91" t="s">
        <v>270</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150.1181966569537</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109.61913218665811</v>
      </c>
      <c r="Y157" s="143">
        <f t="shared" si="298"/>
        <v>109.61913218665811</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159</v>
      </c>
      <c r="G161" t="s">
        <v>270</v>
      </c>
      <c r="J161" s="164">
        <f t="shared" ref="J161:K161" si="299">SUM(J132:J143,J146:J157)</f>
        <v>6.8570911617093202</v>
      </c>
      <c r="K161" s="164">
        <f t="shared" si="299"/>
        <v>0</v>
      </c>
      <c r="L161" s="164">
        <f t="shared" ref="L161:M161" si="300">SUM(L132:L143,L146:L157)</f>
        <v>8.4039402273991612</v>
      </c>
      <c r="M161" s="164">
        <f t="shared" si="300"/>
        <v>0</v>
      </c>
      <c r="N161" s="164">
        <f t="shared" ref="N161:P161" si="301">SUM(N132:N143,N146:N157)</f>
        <v>28.092337095321017</v>
      </c>
      <c r="O161" s="164">
        <f t="shared" si="301"/>
        <v>9.9149425042309467</v>
      </c>
      <c r="P161" s="164">
        <f t="shared" si="301"/>
        <v>150.1181966569537</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109.61913218665811</v>
      </c>
      <c r="Y161" s="164">
        <f>SUM(Y132:Y143,Y146:Y157)</f>
        <v>109.61913218665811</v>
      </c>
    </row>
    <row r="163" spans="2:27" x14ac:dyDescent="0.25">
      <c r="B163" s="70" t="s">
        <v>231</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232</v>
      </c>
      <c r="G165" s="6" t="s">
        <v>55</v>
      </c>
      <c r="H165" s="108">
        <f t="array" ref="H165">SUM(IF(ISERROR(H18:Y161), 1))</f>
        <v>0</v>
      </c>
    </row>
    <row r="167" spans="2:27" x14ac:dyDescent="0.25">
      <c r="B167" s="70" t="s">
        <v>106</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861</v>
      </c>
      <c r="E9"/>
    </row>
    <row r="10" spans="1:27" x14ac:dyDescent="0.25">
      <c r="C10" s="71" t="s">
        <v>862</v>
      </c>
      <c r="E10"/>
    </row>
    <row r="12" spans="1:27" x14ac:dyDescent="0.25">
      <c r="B12" s="70" t="s">
        <v>863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864</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212</v>
      </c>
      <c r="F18" s="60"/>
    </row>
    <row r="19" spans="1:27" x14ac:dyDescent="0.25">
      <c r="E19" s="71" t="s">
        <v>865</v>
      </c>
      <c r="F19" s="2"/>
    </row>
    <row r="20" spans="1:27" x14ac:dyDescent="0.25">
      <c r="C20" s="100"/>
      <c r="F20" s="90" t="s">
        <v>445</v>
      </c>
      <c r="G20" s="90" t="s">
        <v>212</v>
      </c>
      <c r="H20" s="276"/>
      <c r="I20" s="264"/>
      <c r="J20" s="276">
        <f>'Volume adjustments'!J202</f>
        <v>1860265</v>
      </c>
      <c r="K20" s="276">
        <f>'Volume adjustments'!K202</f>
        <v>90201</v>
      </c>
      <c r="L20" s="276">
        <f>'Volume adjustments'!L202</f>
        <v>125138</v>
      </c>
      <c r="M20" s="276">
        <f>'Volume adjustments'!M202</f>
        <v>5142</v>
      </c>
      <c r="N20" s="276">
        <f>'Volume adjustments'!N202</f>
        <v>11272</v>
      </c>
      <c r="O20" s="276">
        <f>'Volume adjustments'!O202</f>
        <v>283</v>
      </c>
      <c r="P20" s="276">
        <f>'Volume adjustments'!P202</f>
        <v>1282</v>
      </c>
      <c r="Q20" s="276">
        <f>'Volume adjustments'!Q202</f>
        <v>4855</v>
      </c>
      <c r="R20" s="276">
        <f>'Volume adjustments'!R202</f>
        <v>14150.894574354708</v>
      </c>
      <c r="S20" s="276">
        <f>'Volume adjustments'!S202</f>
        <v>7</v>
      </c>
      <c r="T20" s="276">
        <f>'Volume adjustments'!T202</f>
        <v>549</v>
      </c>
      <c r="U20" s="276">
        <f>'Volume adjustments'!U202</f>
        <v>0</v>
      </c>
      <c r="V20" s="276">
        <f>'Volume adjustments'!V202</f>
        <v>9</v>
      </c>
      <c r="W20" s="276">
        <f>'Volume adjustments'!W202</f>
        <v>0</v>
      </c>
      <c r="X20" s="276">
        <f>'Volume adjustments'!X202</f>
        <v>263</v>
      </c>
      <c r="Y20" s="276">
        <f>'Volume adjustments'!Y202</f>
        <v>0</v>
      </c>
      <c r="Z20" s="266"/>
      <c r="AA20" s="266"/>
    </row>
    <row r="21" spans="1:27" x14ac:dyDescent="0.25">
      <c r="C21" s="100"/>
      <c r="F21" t="s">
        <v>446</v>
      </c>
      <c r="G21" t="s">
        <v>212</v>
      </c>
      <c r="H21" s="277"/>
      <c r="I21" s="266"/>
      <c r="J21" s="277">
        <f>'Volume adjustments'!J211</f>
        <v>59513</v>
      </c>
      <c r="K21" s="277">
        <f>'Volume adjustments'!K211</f>
        <v>60</v>
      </c>
      <c r="L21" s="277">
        <f>'Volume adjustments'!L211</f>
        <v>1328</v>
      </c>
      <c r="M21" s="277">
        <f>'Volume adjustments'!M211</f>
        <v>0</v>
      </c>
      <c r="N21" s="277">
        <f>'Volume adjustments'!N211</f>
        <v>146</v>
      </c>
      <c r="O21" s="277">
        <f>'Volume adjustments'!O211</f>
        <v>0</v>
      </c>
      <c r="P21" s="277">
        <f>'Volume adjustments'!P211</f>
        <v>0</v>
      </c>
      <c r="Q21" s="277">
        <f>'Volume adjustments'!Q211</f>
        <v>84</v>
      </c>
      <c r="R21" s="277">
        <f>'Volume adjustments'!R211</f>
        <v>279</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447</v>
      </c>
      <c r="G22" t="s">
        <v>212</v>
      </c>
      <c r="H22" s="277"/>
      <c r="I22" s="266"/>
      <c r="J22" s="277">
        <f>'Volume adjustments'!J220</f>
        <v>94595</v>
      </c>
      <c r="K22" s="277">
        <f>'Volume adjustments'!K220</f>
        <v>70</v>
      </c>
      <c r="L22" s="277">
        <f>'Volume adjustments'!L220</f>
        <v>1823</v>
      </c>
      <c r="M22" s="277">
        <f>'Volume adjustments'!M220</f>
        <v>0</v>
      </c>
      <c r="N22" s="277">
        <f>'Volume adjustments'!N220</f>
        <v>526</v>
      </c>
      <c r="O22" s="277">
        <f>'Volume adjustments'!O220</f>
        <v>45</v>
      </c>
      <c r="P22" s="277">
        <f>'Volume adjustments'!P220</f>
        <v>30</v>
      </c>
      <c r="Q22" s="277">
        <f>'Volume adjustments'!Q220</f>
        <v>54</v>
      </c>
      <c r="R22" s="277">
        <f>'Volume adjustments'!R220</f>
        <v>1872</v>
      </c>
      <c r="S22" s="277">
        <f>'Volume adjustments'!S220</f>
        <v>0</v>
      </c>
      <c r="T22" s="277">
        <f>'Volume adjustments'!T220</f>
        <v>1</v>
      </c>
      <c r="U22" s="277">
        <f>'Volume adjustments'!U220</f>
        <v>0</v>
      </c>
      <c r="V22" s="277">
        <f>'Volume adjustments'!V220</f>
        <v>0</v>
      </c>
      <c r="W22" s="277">
        <f>'Volume adjustments'!W220</f>
        <v>0</v>
      </c>
      <c r="X22" s="277">
        <f>'Volume adjustments'!X220</f>
        <v>0</v>
      </c>
      <c r="Y22" s="277">
        <f>'Volume adjustments'!Y220</f>
        <v>0</v>
      </c>
      <c r="Z22" s="266"/>
      <c r="AA22" s="266"/>
    </row>
    <row r="23" spans="1:27" x14ac:dyDescent="0.25">
      <c r="C23" s="100"/>
      <c r="F23" s="91" t="s">
        <v>866</v>
      </c>
      <c r="G23" s="91" t="s">
        <v>212</v>
      </c>
      <c r="H23" s="296"/>
      <c r="I23" s="91"/>
      <c r="J23" s="168">
        <f>'Inputs by customer type'!J161</f>
        <v>3363</v>
      </c>
      <c r="K23" s="168">
        <f>'Inputs by customer type'!K161</f>
        <v>0</v>
      </c>
      <c r="L23" s="168">
        <f>'Inputs by customer type'!L161</f>
        <v>82</v>
      </c>
      <c r="M23" s="168">
        <f>'Inputs by customer type'!M161</f>
        <v>0</v>
      </c>
      <c r="N23" s="168">
        <f>'Inputs by customer type'!N161</f>
        <v>61</v>
      </c>
      <c r="O23" s="168">
        <f>'Inputs by customer type'!O161</f>
        <v>0</v>
      </c>
      <c r="P23" s="168">
        <f>'Inputs by customer type'!P161</f>
        <v>6</v>
      </c>
      <c r="Q23" s="168">
        <f>'Inputs by customer type'!Q161</f>
        <v>27</v>
      </c>
      <c r="R23" s="168">
        <f>'Inputs by customer type'!R161</f>
        <v>4</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867</v>
      </c>
      <c r="J25" s="101"/>
      <c r="K25" s="101"/>
      <c r="L25" s="101"/>
      <c r="M25" s="101"/>
      <c r="N25" s="101"/>
      <c r="O25" s="101"/>
      <c r="P25" s="101"/>
      <c r="Q25" s="101"/>
      <c r="R25" s="101"/>
      <c r="S25" s="101"/>
      <c r="T25" s="101"/>
      <c r="U25" s="101"/>
      <c r="V25" s="101"/>
      <c r="W25" s="101"/>
      <c r="X25" s="101"/>
      <c r="Y25" s="101"/>
    </row>
    <row r="26" spans="1:27" x14ac:dyDescent="0.25">
      <c r="C26" s="100"/>
      <c r="E26"/>
      <c r="F26" s="90" t="s">
        <v>868</v>
      </c>
      <c r="G26" s="90" t="s">
        <v>176</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869</v>
      </c>
      <c r="G27" s="15" t="s">
        <v>176</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1142</v>
      </c>
      <c r="G28" s="91" t="s">
        <v>176</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870</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868</v>
      </c>
      <c r="G31" s="90" t="s">
        <v>277</v>
      </c>
      <c r="H31" s="167">
        <f>'General inputs'!H53</f>
        <v>596635.98809000081</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869</v>
      </c>
      <c r="G32" s="15" t="s">
        <v>277</v>
      </c>
      <c r="H32" s="190">
        <f>'General inputs'!H54</f>
        <v>301897.56459469994</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1142</v>
      </c>
      <c r="G33" s="91" t="s">
        <v>277</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871</v>
      </c>
      <c r="J37" s="101"/>
      <c r="K37" s="101"/>
      <c r="L37" s="101"/>
      <c r="M37" s="101"/>
      <c r="N37" s="101"/>
      <c r="O37" s="101"/>
      <c r="P37" s="101"/>
      <c r="Q37" s="101"/>
      <c r="R37" s="101"/>
      <c r="S37" s="101"/>
      <c r="T37" s="101"/>
      <c r="U37" s="101"/>
      <c r="V37" s="101"/>
      <c r="W37" s="101"/>
      <c r="X37" s="101"/>
      <c r="Y37" s="101"/>
    </row>
    <row r="38" spans="1:27" x14ac:dyDescent="0.25">
      <c r="A38" s="15"/>
      <c r="F38" s="90" t="s">
        <v>868</v>
      </c>
      <c r="G38" s="90" t="s">
        <v>212</v>
      </c>
      <c r="H38" s="90"/>
      <c r="I38" s="90"/>
      <c r="J38" s="222">
        <f t="shared" ref="J38:Y38" si="0">SUM( J$20:J$23 ) * J26</f>
        <v>2017736</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869</v>
      </c>
      <c r="G39" s="15" t="s">
        <v>212</v>
      </c>
      <c r="J39" s="301">
        <f>SUM( J$20:J$23 ) * J27</f>
        <v>2017736</v>
      </c>
      <c r="K39" s="301">
        <f t="shared" ref="K39:Y39" si="1">SUM( K$20:K$23 ) * K27</f>
        <v>0</v>
      </c>
      <c r="L39" s="301">
        <f t="shared" si="1"/>
        <v>128371</v>
      </c>
      <c r="M39" s="301">
        <f t="shared" si="1"/>
        <v>0</v>
      </c>
      <c r="N39" s="301">
        <f t="shared" si="1"/>
        <v>12005</v>
      </c>
      <c r="O39" s="301">
        <f t="shared" si="1"/>
        <v>328</v>
      </c>
      <c r="P39" s="301">
        <f t="shared" si="1"/>
        <v>1318</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1142</v>
      </c>
      <c r="G40" s="91" t="s">
        <v>212</v>
      </c>
      <c r="H40" s="91"/>
      <c r="I40" s="91"/>
      <c r="J40" s="193">
        <f>SUM( J$20:J$23 ) * J28</f>
        <v>2017736</v>
      </c>
      <c r="K40" s="193">
        <f t="shared" ref="K40:Y40" si="2">SUM( K$20:K$23 ) * K28</f>
        <v>0</v>
      </c>
      <c r="L40" s="193">
        <f t="shared" si="2"/>
        <v>128371</v>
      </c>
      <c r="M40" s="193">
        <f t="shared" si="2"/>
        <v>0</v>
      </c>
      <c r="N40" s="193">
        <f t="shared" si="2"/>
        <v>12005</v>
      </c>
      <c r="O40" s="193">
        <f t="shared" si="2"/>
        <v>328</v>
      </c>
      <c r="P40" s="193">
        <f t="shared" si="2"/>
        <v>1318</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872</v>
      </c>
      <c r="I42" t="s">
        <v>154</v>
      </c>
      <c r="J42" s="101"/>
      <c r="K42" s="101"/>
      <c r="L42" s="101"/>
      <c r="M42" s="101"/>
      <c r="N42" s="101"/>
      <c r="O42" s="101"/>
      <c r="P42" s="101"/>
      <c r="Q42" s="101"/>
      <c r="R42" s="101"/>
      <c r="S42" s="101"/>
      <c r="T42" s="101"/>
      <c r="U42" s="101"/>
      <c r="V42" s="101"/>
      <c r="W42" s="101"/>
      <c r="X42" s="101"/>
      <c r="Y42" s="101"/>
      <c r="AA42" t="s">
        <v>1150</v>
      </c>
    </row>
    <row r="43" spans="1:27" x14ac:dyDescent="0.25">
      <c r="A43" s="15"/>
      <c r="C43" s="100"/>
      <c r="E43"/>
      <c r="F43" s="90" t="s">
        <v>868</v>
      </c>
      <c r="G43" s="90" t="s">
        <v>270</v>
      </c>
      <c r="H43" s="302">
        <f>H31 / SUM( J38:Y38 ) * hundred / days_in_year</f>
        <v>8.1012538084866248E-2</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869</v>
      </c>
      <c r="G44" s="15" t="s">
        <v>270</v>
      </c>
      <c r="H44" s="303">
        <f>H32 / SUM( J39:Y39 ) * hundred / days_in_year</f>
        <v>3.8296726546582768E-2</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1142</v>
      </c>
      <c r="G45" s="91" t="s">
        <v>270</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873</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868</v>
      </c>
      <c r="G48" s="90" t="s">
        <v>270</v>
      </c>
      <c r="H48" s="302"/>
      <c r="I48" s="302"/>
      <c r="J48" s="302">
        <f t="shared" ref="J48:Y48" si="3">IF( J26 = 1, $H43, 0)</f>
        <v>8.1012538084866248E-2</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869</v>
      </c>
      <c r="G49" s="15" t="s">
        <v>270</v>
      </c>
      <c r="H49" s="303"/>
      <c r="I49" s="303"/>
      <c r="J49" s="303">
        <f>IF( J27 = 1, $H44, 0)</f>
        <v>3.8296726546582768E-2</v>
      </c>
      <c r="K49" s="303">
        <f t="shared" ref="K49:Y49" si="4">IF( K27 = 1, $H44, 0)</f>
        <v>0</v>
      </c>
      <c r="L49" s="303">
        <f t="shared" si="4"/>
        <v>3.8296726546582768E-2</v>
      </c>
      <c r="M49" s="303">
        <f t="shared" si="4"/>
        <v>0</v>
      </c>
      <c r="N49" s="303">
        <f t="shared" si="4"/>
        <v>3.8296726546582768E-2</v>
      </c>
      <c r="O49" s="303">
        <f t="shared" si="4"/>
        <v>3.8296726546582768E-2</v>
      </c>
      <c r="P49" s="303">
        <f t="shared" si="4"/>
        <v>3.8296726546582768E-2</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1142</v>
      </c>
      <c r="G50" s="91" t="s">
        <v>270</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543</v>
      </c>
      <c r="G51" s="307" t="s">
        <v>270</v>
      </c>
      <c r="H51" s="308"/>
      <c r="I51" s="308"/>
      <c r="J51" s="309">
        <f t="shared" ref="J51:Y51" si="6" xml:space="preserve"> J48 + J50 + J49</f>
        <v>0.11930926463144902</v>
      </c>
      <c r="K51" s="309">
        <f t="shared" si="6"/>
        <v>0</v>
      </c>
      <c r="L51" s="309">
        <f t="shared" si="6"/>
        <v>3.8296726546582768E-2</v>
      </c>
      <c r="M51" s="309">
        <f t="shared" si="6"/>
        <v>0</v>
      </c>
      <c r="N51" s="309">
        <f t="shared" si="6"/>
        <v>3.8296726546582768E-2</v>
      </c>
      <c r="O51" s="309">
        <f t="shared" si="6"/>
        <v>3.8296726546582768E-2</v>
      </c>
      <c r="P51" s="309">
        <f t="shared" si="6"/>
        <v>3.8296726546582768E-2</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874</v>
      </c>
      <c r="G55" s="6" t="s">
        <v>277</v>
      </c>
      <c r="H55" s="310"/>
      <c r="I55" s="47"/>
      <c r="J55" s="310">
        <f t="shared" ref="J55:Y55" si="7">J51 / hundred * days_in_year * SUM( J20:J22 )</f>
        <v>877216.76883057738</v>
      </c>
      <c r="K55" s="310">
        <f t="shared" si="7"/>
        <v>0</v>
      </c>
      <c r="L55" s="310">
        <f t="shared" si="7"/>
        <v>17932.627944561133</v>
      </c>
      <c r="M55" s="310">
        <f t="shared" si="7"/>
        <v>0</v>
      </c>
      <c r="N55" s="310">
        <f t="shared" si="7"/>
        <v>1669.5687718342037</v>
      </c>
      <c r="O55" s="310">
        <f t="shared" si="7"/>
        <v>45.848841021568887</v>
      </c>
      <c r="P55" s="310">
        <f t="shared" si="7"/>
        <v>183.39536408627555</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875</v>
      </c>
      <c r="G57" s="6" t="s">
        <v>277</v>
      </c>
      <c r="H57" s="311">
        <f>SUM( J55:Y55 )</f>
        <v>897048.20975208061</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876</v>
      </c>
      <c r="G59" s="6" t="s">
        <v>277</v>
      </c>
      <c r="H59" s="310"/>
      <c r="I59" s="47"/>
      <c r="J59" s="310">
        <f t="shared" ref="J59:Y59" si="8">J51 / hundred * days_in_year * J23</f>
        <v>1464.5152578878051</v>
      </c>
      <c r="K59" s="310">
        <f t="shared" si="8"/>
        <v>0</v>
      </c>
      <c r="L59" s="310">
        <f t="shared" si="8"/>
        <v>11.462210255392222</v>
      </c>
      <c r="M59" s="310">
        <f t="shared" si="8"/>
        <v>0</v>
      </c>
      <c r="N59" s="310">
        <f t="shared" si="8"/>
        <v>8.5267661655966531</v>
      </c>
      <c r="O59" s="310">
        <f t="shared" si="8"/>
        <v>0</v>
      </c>
      <c r="P59" s="310">
        <f t="shared" si="8"/>
        <v>0.8386983113701626</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877</v>
      </c>
      <c r="G61" s="6" t="s">
        <v>277</v>
      </c>
      <c r="H61" s="311">
        <f>SUM( J59:Y59 )</f>
        <v>1485.342932620164</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231</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878</v>
      </c>
      <c r="G65" s="6" t="s">
        <v>277</v>
      </c>
      <c r="H65" s="310"/>
      <c r="I65" s="47"/>
      <c r="J65" s="303">
        <f xml:space="preserve"> J55 + J59</f>
        <v>878681.28408846515</v>
      </c>
      <c r="K65" s="303">
        <f t="shared" ref="K65:Y65" si="9" xml:space="preserve"> K55 + K59</f>
        <v>0</v>
      </c>
      <c r="L65" s="303">
        <f t="shared" si="9"/>
        <v>17944.090154816524</v>
      </c>
      <c r="M65" s="303">
        <f t="shared" si="9"/>
        <v>0</v>
      </c>
      <c r="N65" s="303">
        <f t="shared" si="9"/>
        <v>1678.0955379998004</v>
      </c>
      <c r="O65" s="303">
        <f t="shared" si="9"/>
        <v>45.848841021568887</v>
      </c>
      <c r="P65" s="303">
        <f t="shared" si="9"/>
        <v>184.23406239764572</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879</v>
      </c>
      <c r="G67" s="6" t="s">
        <v>277</v>
      </c>
      <c r="H67" s="259">
        <f>SUM( J65:Y65 )</f>
        <v>898533.55268470058</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880</v>
      </c>
      <c r="G69" s="6" t="s">
        <v>55</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232</v>
      </c>
      <c r="G71" s="6" t="s">
        <v>55</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106</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5" t="s">
        <v>143</v>
      </c>
      <c r="H5" s="102"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6" spans="1:43" x14ac:dyDescent="0.25">
      <c r="C6" s="100"/>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728</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729</v>
      </c>
      <c r="E10"/>
    </row>
    <row r="11" spans="1:43" x14ac:dyDescent="0.25">
      <c r="D11" s="71" t="s">
        <v>730</v>
      </c>
    </row>
    <row r="13" spans="1:43" x14ac:dyDescent="0.25">
      <c r="B13" s="70" t="s">
        <v>731</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1019</v>
      </c>
      <c r="F17" s="2"/>
    </row>
    <row r="18" spans="3:43" x14ac:dyDescent="0.25">
      <c r="D18" s="100"/>
      <c r="F18" s="2"/>
    </row>
    <row r="19" spans="3:43" ht="60" x14ac:dyDescent="0.25">
      <c r="D19"/>
      <c r="E19" s="60" t="s">
        <v>732</v>
      </c>
      <c r="F19" s="60"/>
      <c r="J19" s="312" t="s">
        <v>1159</v>
      </c>
      <c r="K19" s="312" t="s">
        <v>826</v>
      </c>
      <c r="L19" s="312" t="s">
        <v>1160</v>
      </c>
      <c r="M19" s="312" t="s">
        <v>827</v>
      </c>
      <c r="N19" s="312" t="s">
        <v>833</v>
      </c>
      <c r="O19" s="312" t="s">
        <v>834</v>
      </c>
      <c r="P19" s="312" t="s">
        <v>835</v>
      </c>
      <c r="Q19" s="312" t="s">
        <v>836</v>
      </c>
      <c r="R19" s="312" t="s">
        <v>828</v>
      </c>
      <c r="S19" s="312" t="s">
        <v>829</v>
      </c>
      <c r="T19" s="312" t="s">
        <v>830</v>
      </c>
      <c r="U19" s="312" t="s">
        <v>839</v>
      </c>
      <c r="V19" s="312" t="s">
        <v>831</v>
      </c>
      <c r="W19" s="312" t="s">
        <v>838</v>
      </c>
      <c r="X19" s="312" t="s">
        <v>832</v>
      </c>
      <c r="Y19" s="312" t="s">
        <v>837</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156</v>
      </c>
      <c r="G20" s="90" t="s">
        <v>269</v>
      </c>
      <c r="H20" s="264"/>
      <c r="I20" s="264"/>
      <c r="J20" s="276">
        <f>'Unit rate charges'!J217</f>
        <v>11.75861140842118</v>
      </c>
      <c r="K20" s="276">
        <f>'Unit rate charges'!K217</f>
        <v>11.75861140842118</v>
      </c>
      <c r="L20" s="276">
        <f>'Unit rate charges'!L217</f>
        <v>13.505938712363852</v>
      </c>
      <c r="M20" s="276">
        <f>'Unit rate charges'!M217</f>
        <v>13.505938712363852</v>
      </c>
      <c r="N20" s="276">
        <f>'Unit rate charges'!N217</f>
        <v>10.050096626636556</v>
      </c>
      <c r="O20" s="276">
        <f>'Unit rate charges'!O217</f>
        <v>5.5048475396839871</v>
      </c>
      <c r="P20" s="276">
        <f>'Unit rate charges'!P217</f>
        <v>3.934537906520795</v>
      </c>
      <c r="Q20" s="276">
        <f>'Unit rate charges'!Q217</f>
        <v>31.99688783944076</v>
      </c>
      <c r="R20" s="276">
        <f>'Unit rate charges'!R217</f>
        <v>-8.6828864111564013</v>
      </c>
      <c r="S20" s="276">
        <f>'Unit rate charges'!S217</f>
        <v>-7.4909886820067939</v>
      </c>
      <c r="T20" s="276">
        <f>'Unit rate charges'!T217</f>
        <v>-8.6828864111564013</v>
      </c>
      <c r="U20" s="276">
        <f>'Unit rate charges'!U217</f>
        <v>-8.6828864111564013</v>
      </c>
      <c r="V20" s="276">
        <f>'Unit rate charges'!V217</f>
        <v>-7.4909886820067939</v>
      </c>
      <c r="W20" s="276">
        <f>'Unit rate charges'!W217</f>
        <v>-7.4909886820067939</v>
      </c>
      <c r="X20" s="276">
        <f>'Unit rate charges'!X217</f>
        <v>-4.6866256396748103</v>
      </c>
      <c r="Y20" s="276">
        <f>'Unit rate charges'!Y217</f>
        <v>-4.6866256396748103</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157</v>
      </c>
      <c r="G21" t="s">
        <v>269</v>
      </c>
      <c r="H21" s="266"/>
      <c r="I21" s="266"/>
      <c r="J21" s="313">
        <f>'Unit rate charges'!J218</f>
        <v>1.2816580758372413</v>
      </c>
      <c r="K21" s="313">
        <f>'Unit rate charges'!K218</f>
        <v>1.2816580758372413</v>
      </c>
      <c r="L21" s="313">
        <f>'Unit rate charges'!L218</f>
        <v>1.4721122096157584</v>
      </c>
      <c r="M21" s="313">
        <f>'Unit rate charges'!M218</f>
        <v>1.4721122096157584</v>
      </c>
      <c r="N21" s="313">
        <f>'Unit rate charges'!N218</f>
        <v>1.0294231999620413</v>
      </c>
      <c r="O21" s="313">
        <f>'Unit rate charges'!O218</f>
        <v>0.45411164819859201</v>
      </c>
      <c r="P21" s="313">
        <f>'Unit rate charges'!P218</f>
        <v>0.2863417016086891</v>
      </c>
      <c r="Q21" s="313">
        <f>'Unit rate charges'!Q218</f>
        <v>1.7000933257971842</v>
      </c>
      <c r="R21" s="313">
        <f>'Unit rate charges'!R218</f>
        <v>-0.94641204678863167</v>
      </c>
      <c r="S21" s="313">
        <f>'Unit rate charges'!S218</f>
        <v>-0.79108714654520906</v>
      </c>
      <c r="T21" s="313">
        <f>'Unit rate charges'!T218</f>
        <v>-0.94641204678863167</v>
      </c>
      <c r="U21" s="313">
        <f>'Unit rate charges'!U218</f>
        <v>-0.94641204678863167</v>
      </c>
      <c r="V21" s="313">
        <f>'Unit rate charges'!V218</f>
        <v>-0.79108714654520906</v>
      </c>
      <c r="W21" s="313">
        <f>'Unit rate charges'!W218</f>
        <v>-0.79108714654520906</v>
      </c>
      <c r="X21" s="313">
        <f>'Unit rate charges'!X218</f>
        <v>-0.38661403033964564</v>
      </c>
      <c r="Y21" s="313">
        <f>'Unit rate charges'!Y218</f>
        <v>-0.38661403033964564</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158</v>
      </c>
      <c r="G22" t="s">
        <v>269</v>
      </c>
      <c r="H22" s="266"/>
      <c r="I22" s="266"/>
      <c r="J22" s="313">
        <f>'Unit rate charges'!J219</f>
        <v>2.5851809433392624E-2</v>
      </c>
      <c r="K22" s="313">
        <f>'Unit rate charges'!K219</f>
        <v>2.5851809433392624E-2</v>
      </c>
      <c r="L22" s="313">
        <f>'Unit rate charges'!L219</f>
        <v>2.9693383145654183E-2</v>
      </c>
      <c r="M22" s="313">
        <f>'Unit rate charges'!M219</f>
        <v>2.9693383145654183E-2</v>
      </c>
      <c r="N22" s="313">
        <f>'Unit rate charges'!N219</f>
        <v>2.109399736806291E-2</v>
      </c>
      <c r="O22" s="313">
        <f>'Unit rate charges'!O219</f>
        <v>9.8889062887688589E-3</v>
      </c>
      <c r="P22" s="313">
        <f>'Unit rate charges'!P219</f>
        <v>6.487944767554584E-3</v>
      </c>
      <c r="Q22" s="313">
        <f>'Unit rate charges'!Q219</f>
        <v>0.54375874065497121</v>
      </c>
      <c r="R22" s="313">
        <f>'Unit rate charges'!R219</f>
        <v>-1.9089696651787637E-2</v>
      </c>
      <c r="S22" s="313">
        <f>'Unit rate charges'!S219</f>
        <v>-1.608370245700632E-2</v>
      </c>
      <c r="T22" s="313">
        <f>'Unit rate charges'!T219</f>
        <v>-1.9089696651787637E-2</v>
      </c>
      <c r="U22" s="313">
        <f>'Unit rate charges'!U219</f>
        <v>-1.9089696651787637E-2</v>
      </c>
      <c r="V22" s="313">
        <f>'Unit rate charges'!V219</f>
        <v>-1.608370245700632E-2</v>
      </c>
      <c r="W22" s="313">
        <f>'Unit rate charges'!W219</f>
        <v>-1.608370245700632E-2</v>
      </c>
      <c r="X22" s="313">
        <f>'Unit rate charges'!X219</f>
        <v>-8.4190527398232233E-3</v>
      </c>
      <c r="Y22" s="313">
        <f>'Unit rate charges'!Y219</f>
        <v>-8.4190527398232233E-3</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159</v>
      </c>
      <c r="G23" t="s">
        <v>270</v>
      </c>
      <c r="J23" s="167">
        <f>'Fixed charges'!J161</f>
        <v>6.8570911617093202</v>
      </c>
      <c r="K23" s="167">
        <f>'Fixed charges'!K161</f>
        <v>0</v>
      </c>
      <c r="L23" s="167">
        <f>'Fixed charges'!L161</f>
        <v>8.4039402273991612</v>
      </c>
      <c r="M23" s="167">
        <f>'Fixed charges'!M161</f>
        <v>0</v>
      </c>
      <c r="N23" s="167">
        <f>'Fixed charges'!N161</f>
        <v>28.092337095321017</v>
      </c>
      <c r="O23" s="167">
        <f>'Fixed charges'!O161</f>
        <v>9.9149425042309467</v>
      </c>
      <c r="P23" s="167">
        <f>'Fixed charges'!P161</f>
        <v>150.1181966569537</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109.61913218665811</v>
      </c>
      <c r="Y23" s="167">
        <f>'Fixed charges'!Y161</f>
        <v>109.61913218665811</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160</v>
      </c>
      <c r="G24" t="s">
        <v>271</v>
      </c>
      <c r="J24" s="167">
        <f>'Capacity charges'!J256</f>
        <v>0</v>
      </c>
      <c r="K24" s="167">
        <f>'Capacity charges'!K256</f>
        <v>0</v>
      </c>
      <c r="L24" s="167">
        <f>'Capacity charges'!L256</f>
        <v>0</v>
      </c>
      <c r="M24" s="167">
        <f>'Capacity charges'!M256</f>
        <v>0</v>
      </c>
      <c r="N24" s="167">
        <f>'Capacity charges'!N256</f>
        <v>5.157426726498894</v>
      </c>
      <c r="O24" s="167">
        <f>'Capacity charges'!O256</f>
        <v>7.2722766253928866</v>
      </c>
      <c r="P24" s="167">
        <f>'Capacity charges'!P256</f>
        <v>8.657780801769924</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161</v>
      </c>
      <c r="G25" t="s">
        <v>271</v>
      </c>
      <c r="J25" s="168">
        <f>'Capacity charges'!J257</f>
        <v>0</v>
      </c>
      <c r="K25" s="168">
        <f>'Capacity charges'!K257</f>
        <v>0</v>
      </c>
      <c r="L25" s="168">
        <f>'Capacity charges'!L257</f>
        <v>0</v>
      </c>
      <c r="M25" s="168">
        <f>'Capacity charges'!M257</f>
        <v>0</v>
      </c>
      <c r="N25" s="168">
        <f>'Capacity charges'!N257</f>
        <v>5.157426726498894</v>
      </c>
      <c r="O25" s="168">
        <f>'Capacity charges'!O257</f>
        <v>7.2722766253928866</v>
      </c>
      <c r="P25" s="168">
        <f>'Capacity charges'!P257</f>
        <v>8.657780801769924</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162</v>
      </c>
      <c r="G26" s="91" t="s">
        <v>272</v>
      </c>
      <c r="H26" s="268"/>
      <c r="I26" s="268"/>
      <c r="J26" s="314">
        <f>'Reactive power charges'!J250</f>
        <v>0</v>
      </c>
      <c r="K26" s="314">
        <f>'Reactive power charges'!K250</f>
        <v>0</v>
      </c>
      <c r="L26" s="314">
        <f>'Reactive power charges'!L250</f>
        <v>0</v>
      </c>
      <c r="M26" s="314">
        <f>'Reactive power charges'!M250</f>
        <v>0</v>
      </c>
      <c r="N26" s="314">
        <f>'Reactive power charges'!N250</f>
        <v>0.22303605893423567</v>
      </c>
      <c r="O26" s="314">
        <f>'Reactive power charges'!O250</f>
        <v>0.11885406809484486</v>
      </c>
      <c r="P26" s="314">
        <f>'Reactive power charges'!P250</f>
        <v>8.1602449681017319E-2</v>
      </c>
      <c r="Q26" s="314">
        <f>'Reactive power charges'!Q250</f>
        <v>0</v>
      </c>
      <c r="R26" s="314">
        <f>'Reactive power charges'!R250</f>
        <v>0</v>
      </c>
      <c r="S26" s="314">
        <f>'Reactive power charges'!S250</f>
        <v>0</v>
      </c>
      <c r="T26" s="314">
        <f>'Reactive power charges'!T250</f>
        <v>0.19787136915965053</v>
      </c>
      <c r="U26" s="314">
        <f>'Reactive power charges'!U250</f>
        <v>0</v>
      </c>
      <c r="V26" s="314">
        <f>'Reactive power charges'!V250</f>
        <v>0.16337193391660304</v>
      </c>
      <c r="W26" s="314">
        <f>'Reactive power charges'!W250</f>
        <v>0</v>
      </c>
      <c r="X26" s="314">
        <f>'Reactive power charges'!X250</f>
        <v>0.14703085117058712</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1159</v>
      </c>
      <c r="K28" s="312" t="s">
        <v>826</v>
      </c>
      <c r="L28" s="312" t="s">
        <v>1160</v>
      </c>
      <c r="M28" s="312" t="s">
        <v>827</v>
      </c>
      <c r="N28" s="312" t="s">
        <v>833</v>
      </c>
      <c r="O28" s="312" t="s">
        <v>834</v>
      </c>
      <c r="P28" s="312" t="s">
        <v>835</v>
      </c>
      <c r="Q28" s="312" t="s">
        <v>836</v>
      </c>
      <c r="R28" s="312" t="s">
        <v>828</v>
      </c>
      <c r="S28" s="312" t="s">
        <v>829</v>
      </c>
      <c r="T28" s="312" t="s">
        <v>830</v>
      </c>
      <c r="U28" s="312" t="s">
        <v>839</v>
      </c>
      <c r="V28" s="312" t="s">
        <v>831</v>
      </c>
      <c r="W28" s="312" t="s">
        <v>838</v>
      </c>
      <c r="X28" s="312" t="s">
        <v>832</v>
      </c>
      <c r="Y28" s="312" t="s">
        <v>837</v>
      </c>
      <c r="Z28" s="259"/>
      <c r="AA28" s="259"/>
      <c r="AB28" s="259"/>
      <c r="AC28" s="259"/>
      <c r="AD28" s="259"/>
      <c r="AE28" s="259"/>
      <c r="AF28" s="259"/>
      <c r="AG28" s="259"/>
      <c r="AH28" s="259"/>
      <c r="AI28" s="259"/>
      <c r="AJ28" s="259"/>
      <c r="AK28" s="259"/>
      <c r="AL28" s="259"/>
      <c r="AM28" s="259"/>
      <c r="AN28" s="259"/>
      <c r="AO28" s="259"/>
    </row>
    <row r="29" spans="3:43" x14ac:dyDescent="0.25">
      <c r="D29"/>
      <c r="E29" s="89" t="s">
        <v>872</v>
      </c>
      <c r="F29" s="190"/>
      <c r="G29" t="s">
        <v>270</v>
      </c>
      <c r="J29" s="315">
        <f>'SoLR &amp; bad debt adders'!J51</f>
        <v>0.11930926463144902</v>
      </c>
      <c r="K29" s="315">
        <f>'SoLR &amp; bad debt adders'!K51</f>
        <v>0</v>
      </c>
      <c r="L29" s="315">
        <f>'SoLR &amp; bad debt adders'!L51</f>
        <v>3.8296726546582768E-2</v>
      </c>
      <c r="M29" s="315">
        <f>'SoLR &amp; bad debt adders'!M51</f>
        <v>0</v>
      </c>
      <c r="N29" s="315">
        <f>'SoLR &amp; bad debt adders'!N51</f>
        <v>3.8296726546582768E-2</v>
      </c>
      <c r="O29" s="315">
        <f>'SoLR &amp; bad debt adders'!O51</f>
        <v>3.8296726546582768E-2</v>
      </c>
      <c r="P29" s="315">
        <f>'SoLR &amp; bad debt adders'!P51</f>
        <v>3.8296726546582768E-2</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921</v>
      </c>
      <c r="G32" s="90" t="s">
        <v>904</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933</v>
      </c>
      <c r="G33" t="s">
        <v>904</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934</v>
      </c>
      <c r="G34" t="s">
        <v>904</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931</v>
      </c>
      <c r="G35" t="s">
        <v>149</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930</v>
      </c>
      <c r="G36" t="s">
        <v>149</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932</v>
      </c>
      <c r="G37" s="91" t="s">
        <v>149</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732</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156</v>
      </c>
      <c r="G40" s="90" t="s">
        <v>269</v>
      </c>
      <c r="H40" s="264"/>
      <c r="I40" s="264"/>
      <c r="J40" s="265">
        <f t="shared" ref="J40:AO40" si="0">INDEX($J20:$Y20,J$37)</f>
        <v>11.75861140842118</v>
      </c>
      <c r="K40" s="265">
        <f t="shared" si="0"/>
        <v>11.75861140842118</v>
      </c>
      <c r="L40" s="265">
        <f t="shared" si="0"/>
        <v>13.505938712363852</v>
      </c>
      <c r="M40" s="265">
        <f t="shared" si="0"/>
        <v>13.505938712363852</v>
      </c>
      <c r="N40" s="265">
        <f t="shared" si="0"/>
        <v>13.505938712363852</v>
      </c>
      <c r="O40" s="265">
        <f t="shared" si="0"/>
        <v>13.505938712363852</v>
      </c>
      <c r="P40" s="265">
        <f t="shared" si="0"/>
        <v>13.505938712363852</v>
      </c>
      <c r="Q40" s="265">
        <f t="shared" si="0"/>
        <v>13.505938712363852</v>
      </c>
      <c r="R40" s="265">
        <f t="shared" si="0"/>
        <v>10.050096626636556</v>
      </c>
      <c r="S40" s="265">
        <f t="shared" si="0"/>
        <v>10.050096626636556</v>
      </c>
      <c r="T40" s="265">
        <f t="shared" si="0"/>
        <v>10.050096626636556</v>
      </c>
      <c r="U40" s="265">
        <f t="shared" si="0"/>
        <v>10.050096626636556</v>
      </c>
      <c r="V40" s="265">
        <f t="shared" si="0"/>
        <v>10.050096626636556</v>
      </c>
      <c r="W40" s="265">
        <f t="shared" si="0"/>
        <v>5.5048475396839871</v>
      </c>
      <c r="X40" s="265">
        <f t="shared" si="0"/>
        <v>5.5048475396839871</v>
      </c>
      <c r="Y40" s="265">
        <f t="shared" si="0"/>
        <v>5.5048475396839871</v>
      </c>
      <c r="Z40" s="265">
        <f t="shared" si="0"/>
        <v>5.5048475396839871</v>
      </c>
      <c r="AA40" s="265">
        <f t="shared" si="0"/>
        <v>5.5048475396839871</v>
      </c>
      <c r="AB40" s="265">
        <f t="shared" si="0"/>
        <v>3.934537906520795</v>
      </c>
      <c r="AC40" s="265">
        <f t="shared" si="0"/>
        <v>3.934537906520795</v>
      </c>
      <c r="AD40" s="265">
        <f t="shared" si="0"/>
        <v>3.934537906520795</v>
      </c>
      <c r="AE40" s="265">
        <f t="shared" si="0"/>
        <v>3.934537906520795</v>
      </c>
      <c r="AF40" s="265">
        <f t="shared" si="0"/>
        <v>3.934537906520795</v>
      </c>
      <c r="AG40" s="265">
        <f t="shared" si="0"/>
        <v>31.99688783944076</v>
      </c>
      <c r="AH40" s="265">
        <f t="shared" si="0"/>
        <v>-8.6828864111564013</v>
      </c>
      <c r="AI40" s="265">
        <f t="shared" si="0"/>
        <v>-7.4909886820067939</v>
      </c>
      <c r="AJ40" s="265">
        <f t="shared" si="0"/>
        <v>-8.6828864111564013</v>
      </c>
      <c r="AK40" s="265">
        <f t="shared" si="0"/>
        <v>-8.6828864111564013</v>
      </c>
      <c r="AL40" s="265">
        <f t="shared" si="0"/>
        <v>-7.4909886820067939</v>
      </c>
      <c r="AM40" s="265">
        <f t="shared" si="0"/>
        <v>-7.4909886820067939</v>
      </c>
      <c r="AN40" s="265">
        <f t="shared" si="0"/>
        <v>-4.6866256396748103</v>
      </c>
      <c r="AO40" s="265">
        <f t="shared" si="0"/>
        <v>-4.6866256396748103</v>
      </c>
      <c r="AP40" s="266"/>
      <c r="AQ40" s="266"/>
    </row>
    <row r="41" spans="3:43" x14ac:dyDescent="0.25">
      <c r="D41"/>
      <c r="E41" s="100"/>
      <c r="F41" t="s">
        <v>157</v>
      </c>
      <c r="G41" t="s">
        <v>269</v>
      </c>
      <c r="H41" s="266"/>
      <c r="I41" s="266"/>
      <c r="J41" s="267">
        <f t="shared" ref="J41:AO41" si="1">INDEX($J21:$Y21,J$37)</f>
        <v>1.2816580758372413</v>
      </c>
      <c r="K41" s="267">
        <f t="shared" si="1"/>
        <v>1.2816580758372413</v>
      </c>
      <c r="L41" s="267">
        <f t="shared" si="1"/>
        <v>1.4721122096157584</v>
      </c>
      <c r="M41" s="267">
        <f t="shared" si="1"/>
        <v>1.4721122096157584</v>
      </c>
      <c r="N41" s="267">
        <f t="shared" si="1"/>
        <v>1.4721122096157584</v>
      </c>
      <c r="O41" s="267">
        <f t="shared" si="1"/>
        <v>1.4721122096157584</v>
      </c>
      <c r="P41" s="267">
        <f t="shared" si="1"/>
        <v>1.4721122096157584</v>
      </c>
      <c r="Q41" s="267">
        <f t="shared" si="1"/>
        <v>1.4721122096157584</v>
      </c>
      <c r="R41" s="267">
        <f t="shared" si="1"/>
        <v>1.0294231999620413</v>
      </c>
      <c r="S41" s="267">
        <f t="shared" si="1"/>
        <v>1.0294231999620413</v>
      </c>
      <c r="T41" s="267">
        <f t="shared" si="1"/>
        <v>1.0294231999620413</v>
      </c>
      <c r="U41" s="267">
        <f t="shared" si="1"/>
        <v>1.0294231999620413</v>
      </c>
      <c r="V41" s="267">
        <f t="shared" si="1"/>
        <v>1.0294231999620413</v>
      </c>
      <c r="W41" s="267">
        <f t="shared" si="1"/>
        <v>0.45411164819859201</v>
      </c>
      <c r="X41" s="267">
        <f t="shared" si="1"/>
        <v>0.45411164819859201</v>
      </c>
      <c r="Y41" s="267">
        <f t="shared" si="1"/>
        <v>0.45411164819859201</v>
      </c>
      <c r="Z41" s="267">
        <f t="shared" si="1"/>
        <v>0.45411164819859201</v>
      </c>
      <c r="AA41" s="267">
        <f t="shared" si="1"/>
        <v>0.45411164819859201</v>
      </c>
      <c r="AB41" s="267">
        <f t="shared" si="1"/>
        <v>0.2863417016086891</v>
      </c>
      <c r="AC41" s="267">
        <f t="shared" si="1"/>
        <v>0.2863417016086891</v>
      </c>
      <c r="AD41" s="267">
        <f t="shared" si="1"/>
        <v>0.2863417016086891</v>
      </c>
      <c r="AE41" s="267">
        <f t="shared" si="1"/>
        <v>0.2863417016086891</v>
      </c>
      <c r="AF41" s="267">
        <f t="shared" si="1"/>
        <v>0.2863417016086891</v>
      </c>
      <c r="AG41" s="267">
        <f t="shared" si="1"/>
        <v>1.7000933257971842</v>
      </c>
      <c r="AH41" s="267">
        <f t="shared" si="1"/>
        <v>-0.94641204678863167</v>
      </c>
      <c r="AI41" s="267">
        <f t="shared" si="1"/>
        <v>-0.79108714654520906</v>
      </c>
      <c r="AJ41" s="267">
        <f t="shared" si="1"/>
        <v>-0.94641204678863167</v>
      </c>
      <c r="AK41" s="267">
        <f t="shared" si="1"/>
        <v>-0.94641204678863167</v>
      </c>
      <c r="AL41" s="267">
        <f t="shared" si="1"/>
        <v>-0.79108714654520906</v>
      </c>
      <c r="AM41" s="267">
        <f t="shared" si="1"/>
        <v>-0.79108714654520906</v>
      </c>
      <c r="AN41" s="267">
        <f t="shared" si="1"/>
        <v>-0.38661403033964564</v>
      </c>
      <c r="AO41" s="267">
        <f t="shared" si="1"/>
        <v>-0.38661403033964564</v>
      </c>
      <c r="AP41" s="266"/>
      <c r="AQ41" s="266"/>
    </row>
    <row r="42" spans="3:43" x14ac:dyDescent="0.25">
      <c r="D42"/>
      <c r="E42" s="100"/>
      <c r="F42" t="s">
        <v>158</v>
      </c>
      <c r="G42" t="s">
        <v>269</v>
      </c>
      <c r="H42" s="266"/>
      <c r="I42" s="266"/>
      <c r="J42" s="267">
        <f t="shared" ref="J42:AO42" si="2">INDEX($J22:$Y22,J$37)</f>
        <v>2.5851809433392624E-2</v>
      </c>
      <c r="K42" s="267">
        <f t="shared" si="2"/>
        <v>2.5851809433392624E-2</v>
      </c>
      <c r="L42" s="267">
        <f t="shared" si="2"/>
        <v>2.9693383145654183E-2</v>
      </c>
      <c r="M42" s="267">
        <f t="shared" si="2"/>
        <v>2.9693383145654183E-2</v>
      </c>
      <c r="N42" s="267">
        <f t="shared" si="2"/>
        <v>2.9693383145654183E-2</v>
      </c>
      <c r="O42" s="267">
        <f t="shared" si="2"/>
        <v>2.9693383145654183E-2</v>
      </c>
      <c r="P42" s="267">
        <f t="shared" si="2"/>
        <v>2.9693383145654183E-2</v>
      </c>
      <c r="Q42" s="267">
        <f t="shared" si="2"/>
        <v>2.9693383145654183E-2</v>
      </c>
      <c r="R42" s="267">
        <f t="shared" si="2"/>
        <v>2.109399736806291E-2</v>
      </c>
      <c r="S42" s="267">
        <f t="shared" si="2"/>
        <v>2.109399736806291E-2</v>
      </c>
      <c r="T42" s="267">
        <f t="shared" si="2"/>
        <v>2.109399736806291E-2</v>
      </c>
      <c r="U42" s="267">
        <f t="shared" si="2"/>
        <v>2.109399736806291E-2</v>
      </c>
      <c r="V42" s="267">
        <f t="shared" si="2"/>
        <v>2.109399736806291E-2</v>
      </c>
      <c r="W42" s="267">
        <f t="shared" si="2"/>
        <v>9.8889062887688589E-3</v>
      </c>
      <c r="X42" s="267">
        <f t="shared" si="2"/>
        <v>9.8889062887688589E-3</v>
      </c>
      <c r="Y42" s="267">
        <f t="shared" si="2"/>
        <v>9.8889062887688589E-3</v>
      </c>
      <c r="Z42" s="267">
        <f t="shared" si="2"/>
        <v>9.8889062887688589E-3</v>
      </c>
      <c r="AA42" s="267">
        <f t="shared" si="2"/>
        <v>9.8889062887688589E-3</v>
      </c>
      <c r="AB42" s="267">
        <f t="shared" si="2"/>
        <v>6.487944767554584E-3</v>
      </c>
      <c r="AC42" s="267">
        <f t="shared" si="2"/>
        <v>6.487944767554584E-3</v>
      </c>
      <c r="AD42" s="267">
        <f t="shared" si="2"/>
        <v>6.487944767554584E-3</v>
      </c>
      <c r="AE42" s="267">
        <f t="shared" si="2"/>
        <v>6.487944767554584E-3</v>
      </c>
      <c r="AF42" s="267">
        <f t="shared" si="2"/>
        <v>6.487944767554584E-3</v>
      </c>
      <c r="AG42" s="267">
        <f t="shared" si="2"/>
        <v>0.54375874065497121</v>
      </c>
      <c r="AH42" s="267">
        <f t="shared" si="2"/>
        <v>-1.9089696651787637E-2</v>
      </c>
      <c r="AI42" s="267">
        <f t="shared" si="2"/>
        <v>-1.608370245700632E-2</v>
      </c>
      <c r="AJ42" s="267">
        <f t="shared" si="2"/>
        <v>-1.9089696651787637E-2</v>
      </c>
      <c r="AK42" s="267">
        <f t="shared" si="2"/>
        <v>-1.9089696651787637E-2</v>
      </c>
      <c r="AL42" s="267">
        <f t="shared" si="2"/>
        <v>-1.608370245700632E-2</v>
      </c>
      <c r="AM42" s="267">
        <f t="shared" si="2"/>
        <v>-1.608370245700632E-2</v>
      </c>
      <c r="AN42" s="267">
        <f t="shared" si="2"/>
        <v>-8.4190527398232233E-3</v>
      </c>
      <c r="AO42" s="267">
        <f t="shared" si="2"/>
        <v>-8.4190527398232233E-3</v>
      </c>
      <c r="AP42" s="266"/>
      <c r="AQ42" s="266"/>
    </row>
    <row r="43" spans="3:43" x14ac:dyDescent="0.25">
      <c r="D43"/>
      <c r="E43" s="100"/>
      <c r="F43" t="s">
        <v>159</v>
      </c>
      <c r="G43" t="s">
        <v>270</v>
      </c>
      <c r="J43" s="311">
        <f t="shared" ref="J43:AO43" si="3">INDEX($J23:$Y23,J$37)</f>
        <v>6.8570911617093202</v>
      </c>
      <c r="K43" s="311">
        <f t="shared" si="3"/>
        <v>0</v>
      </c>
      <c r="L43" s="311">
        <f t="shared" si="3"/>
        <v>8.4039402273991612</v>
      </c>
      <c r="M43" s="311">
        <f t="shared" si="3"/>
        <v>8.4039402273991612</v>
      </c>
      <c r="N43" s="311">
        <f t="shared" si="3"/>
        <v>8.4039402273991612</v>
      </c>
      <c r="O43" s="311">
        <f t="shared" si="3"/>
        <v>8.4039402273991612</v>
      </c>
      <c r="P43" s="311">
        <f t="shared" si="3"/>
        <v>8.4039402273991612</v>
      </c>
      <c r="Q43" s="311">
        <f t="shared" si="3"/>
        <v>0</v>
      </c>
      <c r="R43" s="311">
        <f t="shared" si="3"/>
        <v>28.092337095321017</v>
      </c>
      <c r="S43" s="311">
        <f t="shared" si="3"/>
        <v>28.092337095321017</v>
      </c>
      <c r="T43" s="311">
        <f t="shared" si="3"/>
        <v>28.092337095321017</v>
      </c>
      <c r="U43" s="311">
        <f t="shared" si="3"/>
        <v>28.092337095321017</v>
      </c>
      <c r="V43" s="311">
        <f t="shared" si="3"/>
        <v>28.092337095321017</v>
      </c>
      <c r="W43" s="311">
        <f t="shared" si="3"/>
        <v>9.9149425042309467</v>
      </c>
      <c r="X43" s="311">
        <f t="shared" si="3"/>
        <v>9.9149425042309467</v>
      </c>
      <c r="Y43" s="311">
        <f t="shared" si="3"/>
        <v>9.9149425042309467</v>
      </c>
      <c r="Z43" s="311">
        <f t="shared" si="3"/>
        <v>9.9149425042309467</v>
      </c>
      <c r="AA43" s="311">
        <f t="shared" si="3"/>
        <v>9.9149425042309467</v>
      </c>
      <c r="AB43" s="311">
        <f t="shared" si="3"/>
        <v>150.1181966569537</v>
      </c>
      <c r="AC43" s="311">
        <f t="shared" si="3"/>
        <v>150.1181966569537</v>
      </c>
      <c r="AD43" s="311">
        <f t="shared" si="3"/>
        <v>150.1181966569537</v>
      </c>
      <c r="AE43" s="311">
        <f t="shared" si="3"/>
        <v>150.1181966569537</v>
      </c>
      <c r="AF43" s="311">
        <f t="shared" si="3"/>
        <v>150.1181966569537</v>
      </c>
      <c r="AG43" s="311">
        <f t="shared" si="3"/>
        <v>0</v>
      </c>
      <c r="AH43" s="311">
        <f t="shared" si="3"/>
        <v>0</v>
      </c>
      <c r="AI43" s="311">
        <f t="shared" si="3"/>
        <v>0</v>
      </c>
      <c r="AJ43" s="311">
        <f t="shared" si="3"/>
        <v>0</v>
      </c>
      <c r="AK43" s="311">
        <f t="shared" si="3"/>
        <v>0</v>
      </c>
      <c r="AL43" s="311">
        <f t="shared" si="3"/>
        <v>0</v>
      </c>
      <c r="AM43" s="311">
        <f t="shared" si="3"/>
        <v>0</v>
      </c>
      <c r="AN43" s="311">
        <f t="shared" si="3"/>
        <v>109.61913218665811</v>
      </c>
      <c r="AO43" s="311">
        <f t="shared" si="3"/>
        <v>109.61913218665811</v>
      </c>
    </row>
    <row r="44" spans="3:43" x14ac:dyDescent="0.25">
      <c r="D44"/>
      <c r="E44" s="100"/>
      <c r="F44" t="s">
        <v>160</v>
      </c>
      <c r="G44" t="s">
        <v>271</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5.157426726498894</v>
      </c>
      <c r="S44" s="311">
        <f t="shared" si="4"/>
        <v>5.157426726498894</v>
      </c>
      <c r="T44" s="311">
        <f t="shared" si="4"/>
        <v>5.157426726498894</v>
      </c>
      <c r="U44" s="311">
        <f t="shared" si="4"/>
        <v>5.157426726498894</v>
      </c>
      <c r="V44" s="311">
        <f t="shared" si="4"/>
        <v>5.157426726498894</v>
      </c>
      <c r="W44" s="311">
        <f t="shared" si="4"/>
        <v>7.2722766253928866</v>
      </c>
      <c r="X44" s="311">
        <f t="shared" si="4"/>
        <v>7.2722766253928866</v>
      </c>
      <c r="Y44" s="311">
        <f t="shared" si="4"/>
        <v>7.2722766253928866</v>
      </c>
      <c r="Z44" s="311">
        <f t="shared" si="4"/>
        <v>7.2722766253928866</v>
      </c>
      <c r="AA44" s="311">
        <f t="shared" si="4"/>
        <v>7.2722766253928866</v>
      </c>
      <c r="AB44" s="311">
        <f t="shared" si="4"/>
        <v>8.657780801769924</v>
      </c>
      <c r="AC44" s="311">
        <f t="shared" si="4"/>
        <v>8.657780801769924</v>
      </c>
      <c r="AD44" s="311">
        <f t="shared" si="4"/>
        <v>8.657780801769924</v>
      </c>
      <c r="AE44" s="311">
        <f t="shared" si="4"/>
        <v>8.657780801769924</v>
      </c>
      <c r="AF44" s="311">
        <f t="shared" si="4"/>
        <v>8.657780801769924</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161</v>
      </c>
      <c r="G45" t="s">
        <v>271</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5.157426726498894</v>
      </c>
      <c r="S45" s="311">
        <f t="shared" si="5"/>
        <v>5.157426726498894</v>
      </c>
      <c r="T45" s="311">
        <f t="shared" si="5"/>
        <v>5.157426726498894</v>
      </c>
      <c r="U45" s="311">
        <f t="shared" si="5"/>
        <v>5.157426726498894</v>
      </c>
      <c r="V45" s="311">
        <f t="shared" si="5"/>
        <v>5.157426726498894</v>
      </c>
      <c r="W45" s="311">
        <f t="shared" si="5"/>
        <v>7.2722766253928866</v>
      </c>
      <c r="X45" s="311">
        <f t="shared" si="5"/>
        <v>7.2722766253928866</v>
      </c>
      <c r="Y45" s="311">
        <f t="shared" si="5"/>
        <v>7.2722766253928866</v>
      </c>
      <c r="Z45" s="311">
        <f t="shared" si="5"/>
        <v>7.2722766253928866</v>
      </c>
      <c r="AA45" s="311">
        <f t="shared" si="5"/>
        <v>7.2722766253928866</v>
      </c>
      <c r="AB45" s="311">
        <f t="shared" si="5"/>
        <v>8.657780801769924</v>
      </c>
      <c r="AC45" s="311">
        <f t="shared" si="5"/>
        <v>8.657780801769924</v>
      </c>
      <c r="AD45" s="311">
        <f t="shared" si="5"/>
        <v>8.657780801769924</v>
      </c>
      <c r="AE45" s="311">
        <f t="shared" si="5"/>
        <v>8.657780801769924</v>
      </c>
      <c r="AF45" s="311">
        <f t="shared" si="5"/>
        <v>8.657780801769924</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162</v>
      </c>
      <c r="G46" s="91" t="s">
        <v>272</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0.22303605893423567</v>
      </c>
      <c r="S46" s="269">
        <f t="shared" si="6"/>
        <v>0.22303605893423567</v>
      </c>
      <c r="T46" s="269">
        <f t="shared" si="6"/>
        <v>0.22303605893423567</v>
      </c>
      <c r="U46" s="269">
        <f t="shared" si="6"/>
        <v>0.22303605893423567</v>
      </c>
      <c r="V46" s="269">
        <f t="shared" si="6"/>
        <v>0.22303605893423567</v>
      </c>
      <c r="W46" s="269">
        <f t="shared" si="6"/>
        <v>0.11885406809484486</v>
      </c>
      <c r="X46" s="269">
        <f t="shared" si="6"/>
        <v>0.11885406809484486</v>
      </c>
      <c r="Y46" s="269">
        <f t="shared" si="6"/>
        <v>0.11885406809484486</v>
      </c>
      <c r="Z46" s="269">
        <f t="shared" si="6"/>
        <v>0.11885406809484486</v>
      </c>
      <c r="AA46" s="269">
        <f t="shared" si="6"/>
        <v>0.11885406809484486</v>
      </c>
      <c r="AB46" s="269">
        <f t="shared" si="6"/>
        <v>8.1602449681017319E-2</v>
      </c>
      <c r="AC46" s="269">
        <f t="shared" si="6"/>
        <v>8.1602449681017319E-2</v>
      </c>
      <c r="AD46" s="269">
        <f t="shared" si="6"/>
        <v>8.1602449681017319E-2</v>
      </c>
      <c r="AE46" s="269">
        <f t="shared" si="6"/>
        <v>8.1602449681017319E-2</v>
      </c>
      <c r="AF46" s="269">
        <f t="shared" si="6"/>
        <v>8.1602449681017319E-2</v>
      </c>
      <c r="AG46" s="269">
        <f t="shared" si="6"/>
        <v>0</v>
      </c>
      <c r="AH46" s="269">
        <f t="shared" si="6"/>
        <v>0</v>
      </c>
      <c r="AI46" s="269">
        <f t="shared" si="6"/>
        <v>0</v>
      </c>
      <c r="AJ46" s="269">
        <f t="shared" si="6"/>
        <v>0.19787136915965053</v>
      </c>
      <c r="AK46" s="269">
        <f t="shared" si="6"/>
        <v>0</v>
      </c>
      <c r="AL46" s="269">
        <f t="shared" si="6"/>
        <v>0.16337193391660304</v>
      </c>
      <c r="AM46" s="269">
        <f t="shared" si="6"/>
        <v>0</v>
      </c>
      <c r="AN46" s="269">
        <f t="shared" si="6"/>
        <v>0.14703085117058712</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872</v>
      </c>
      <c r="F48" s="190"/>
      <c r="G48" t="s">
        <v>270</v>
      </c>
      <c r="J48" s="311">
        <f>INDEX($J29:$Y29,J$37)</f>
        <v>0.11930926463144902</v>
      </c>
      <c r="K48" s="311">
        <f t="shared" ref="K48:AO48" si="7">INDEX($J29:$Y29,K$37)</f>
        <v>0</v>
      </c>
      <c r="L48" s="311">
        <f t="shared" si="7"/>
        <v>3.8296726546582768E-2</v>
      </c>
      <c r="M48" s="311">
        <f t="shared" si="7"/>
        <v>3.8296726546582768E-2</v>
      </c>
      <c r="N48" s="311">
        <f t="shared" si="7"/>
        <v>3.8296726546582768E-2</v>
      </c>
      <c r="O48" s="311">
        <f t="shared" si="7"/>
        <v>3.8296726546582768E-2</v>
      </c>
      <c r="P48" s="311">
        <f t="shared" si="7"/>
        <v>3.8296726546582768E-2</v>
      </c>
      <c r="Q48" s="311">
        <f t="shared" si="7"/>
        <v>0</v>
      </c>
      <c r="R48" s="311">
        <f t="shared" si="7"/>
        <v>3.8296726546582768E-2</v>
      </c>
      <c r="S48" s="311">
        <f t="shared" si="7"/>
        <v>3.8296726546582768E-2</v>
      </c>
      <c r="T48" s="311">
        <f t="shared" si="7"/>
        <v>3.8296726546582768E-2</v>
      </c>
      <c r="U48" s="311">
        <f t="shared" si="7"/>
        <v>3.8296726546582768E-2</v>
      </c>
      <c r="V48" s="311">
        <f t="shared" si="7"/>
        <v>3.8296726546582768E-2</v>
      </c>
      <c r="W48" s="311">
        <f t="shared" si="7"/>
        <v>3.8296726546582768E-2</v>
      </c>
      <c r="X48" s="311">
        <f t="shared" si="7"/>
        <v>3.8296726546582768E-2</v>
      </c>
      <c r="Y48" s="311">
        <f t="shared" si="7"/>
        <v>3.8296726546582768E-2</v>
      </c>
      <c r="Z48" s="311">
        <f t="shared" si="7"/>
        <v>3.8296726546582768E-2</v>
      </c>
      <c r="AA48" s="311">
        <f t="shared" si="7"/>
        <v>3.8296726546582768E-2</v>
      </c>
      <c r="AB48" s="311">
        <f t="shared" si="7"/>
        <v>3.8296726546582768E-2</v>
      </c>
      <c r="AC48" s="311">
        <f t="shared" si="7"/>
        <v>3.8296726546582768E-2</v>
      </c>
      <c r="AD48" s="311">
        <f t="shared" si="7"/>
        <v>3.8296726546582768E-2</v>
      </c>
      <c r="AE48" s="311">
        <f t="shared" si="7"/>
        <v>3.8296726546582768E-2</v>
      </c>
      <c r="AF48" s="311">
        <f t="shared" si="7"/>
        <v>3.8296726546582768E-2</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733</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1025</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1021</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156</v>
      </c>
      <c r="G53" s="90" t="s">
        <v>207</v>
      </c>
      <c r="H53" s="8">
        <v>0</v>
      </c>
      <c r="I53" s="90"/>
      <c r="J53" s="258">
        <f>INDEX('Volume adjustments'!$J$481:$Y$521, J$36 + 1 + $H53*$H$59, J$37)</f>
        <v>728623.55510337406</v>
      </c>
      <c r="K53" s="258">
        <f>INDEX('Volume adjustments'!$J$481:$Y$521, K$36 + 1 + $H53*$H$59, K$37)</f>
        <v>584.41884165229453</v>
      </c>
      <c r="L53" s="258">
        <f>INDEX('Volume adjustments'!$J$481:$Y$521, L$36 + 1 + $H53*$H$59, L$37)</f>
        <v>17.287783850161901</v>
      </c>
      <c r="M53" s="258">
        <f>INDEX('Volume adjustments'!$J$481:$Y$521, M$36 + 1 + $H53*$H$59, M$37)</f>
        <v>16714.932807878631</v>
      </c>
      <c r="N53" s="258">
        <f>INDEX('Volume adjustments'!$J$481:$Y$521, N$36 + 1 + $H53*$H$59, N$37)</f>
        <v>29394.411425546401</v>
      </c>
      <c r="O53" s="258">
        <f>INDEX('Volume adjustments'!$J$481:$Y$521, O$36 + 1 + $H53*$H$59, O$37)</f>
        <v>35993.169035651037</v>
      </c>
      <c r="P53" s="258">
        <f>INDEX('Volume adjustments'!$J$481:$Y$521, P$36 + 1 + $H53*$H$59, P$37)</f>
        <v>109528.03228480776</v>
      </c>
      <c r="Q53" s="258">
        <f>INDEX('Volume adjustments'!$J$481:$Y$521, Q$36 + 1 + $H53*$H$59, Q$37)</f>
        <v>483.15300000000002</v>
      </c>
      <c r="R53" s="258">
        <f>INDEX('Volume adjustments'!$J$481:$Y$521, R$36 + 1 + $H53*$H$59, R$37)</f>
        <v>11.680688004034213</v>
      </c>
      <c r="S53" s="258">
        <f>INDEX('Volume adjustments'!$J$481:$Y$521, S$36 + 1 + $H53*$H$59, S$37)</f>
        <v>48039.997165772591</v>
      </c>
      <c r="T53" s="258">
        <f>INDEX('Volume adjustments'!$J$481:$Y$521, T$36 + 1 + $H53*$H$59, T$37)</f>
        <v>71575.05506552312</v>
      </c>
      <c r="U53" s="258">
        <f>INDEX('Volume adjustments'!$J$481:$Y$521, U$36 + 1 + $H53*$H$59, U$37)</f>
        <v>39769.61413837006</v>
      </c>
      <c r="V53" s="258">
        <f>INDEX('Volume adjustments'!$J$481:$Y$521, V$36 + 1 + $H53*$H$59, V$37)</f>
        <v>94146.142039384256</v>
      </c>
      <c r="W53" s="258">
        <f>INDEX('Volume adjustments'!$J$481:$Y$521, W$36 + 1 + $H53*$H$59, W$37)</f>
        <v>0.14310184384727981</v>
      </c>
      <c r="X53" s="258">
        <f>INDEX('Volume adjustments'!$J$481:$Y$521, X$36 + 1 + $H53*$H$59, X$37)</f>
        <v>122.4524465326782</v>
      </c>
      <c r="Y53" s="258">
        <f>INDEX('Volume adjustments'!$J$481:$Y$521, Y$36 + 1 + $H53*$H$59, Y$37)</f>
        <v>718.10329408904522</v>
      </c>
      <c r="Z53" s="258">
        <f>INDEX('Volume adjustments'!$J$481:$Y$521, Z$36 + 1 + $H53*$H$59, Z$37)</f>
        <v>2003.940664475771</v>
      </c>
      <c r="AA53" s="258">
        <f>INDEX('Volume adjustments'!$J$481:$Y$521, AA$36 + 1 + $H53*$H$59, AA$37)</f>
        <v>24191.291388453097</v>
      </c>
      <c r="AB53" s="258">
        <f>INDEX('Volume adjustments'!$J$481:$Y$521, AB$36 + 1 + $H53*$H$59, AB$37)</f>
        <v>501.18634038179846</v>
      </c>
      <c r="AC53" s="258">
        <f>INDEX('Volume adjustments'!$J$481:$Y$521, AC$36 + 1 + $H53*$H$59, AC$37)</f>
        <v>17124.037470365827</v>
      </c>
      <c r="AD53" s="258">
        <f>INDEX('Volume adjustments'!$J$481:$Y$521, AD$36 + 1 + $H53*$H$59, AD$37)</f>
        <v>63497.151434167426</v>
      </c>
      <c r="AE53" s="258">
        <f>INDEX('Volume adjustments'!$J$481:$Y$521, AE$36 + 1 + $H53*$H$59, AE$37)</f>
        <v>56507.743226801183</v>
      </c>
      <c r="AF53" s="258">
        <f>INDEX('Volume adjustments'!$J$481:$Y$521, AF$36 + 1 + $H53*$H$59, AF$37)</f>
        <v>166522.76256984114</v>
      </c>
      <c r="AG53" s="258">
        <f>INDEX('Volume adjustments'!$J$481:$Y$521, AG$36 + 1 + $H53*$H$59, AG$37)</f>
        <v>10432.607991329018</v>
      </c>
      <c r="AH53" s="258">
        <f>INDEX('Volume adjustments'!$J$481:$Y$521, AH$36 + 1 + $H53*$H$59, AH$37)</f>
        <v>13715.66896284854</v>
      </c>
      <c r="AI53" s="258">
        <f>INDEX('Volume adjustments'!$J$481:$Y$521, AI$36 + 1 + $H53*$H$59, AI$37)</f>
        <v>52.1242510546167</v>
      </c>
      <c r="AJ53" s="258">
        <f>INDEX('Volume adjustments'!$J$481:$Y$521, AJ$36 + 1 + $H53*$H$59, AJ$37)</f>
        <v>5844.5739999999987</v>
      </c>
      <c r="AK53" s="258">
        <f>INDEX('Volume adjustments'!$J$481:$Y$521, AK$36 + 1 + $H53*$H$59, AK$37)</f>
        <v>0</v>
      </c>
      <c r="AL53" s="258">
        <f>INDEX('Volume adjustments'!$J$481:$Y$521, AL$36 + 1 + $H53*$H$59, AL$37)</f>
        <v>64.59099999999998</v>
      </c>
      <c r="AM53" s="258">
        <f>INDEX('Volume adjustments'!$J$481:$Y$521, AM$36 + 1 + $H53*$H$59, AM$37)</f>
        <v>0</v>
      </c>
      <c r="AN53" s="258">
        <f>INDEX('Volume adjustments'!$J$481:$Y$521, AN$36 + 1 + $H53*$H$59, AN$37)</f>
        <v>115415.10300000002</v>
      </c>
      <c r="AO53" s="258">
        <f>INDEX('Volume adjustments'!$J$481:$Y$521, AO$36 + 1 + $H53*$H$59, AO$37)</f>
        <v>0</v>
      </c>
    </row>
    <row r="54" spans="4:41" x14ac:dyDescent="0.25">
      <c r="D54" s="100"/>
      <c r="F54" t="s">
        <v>157</v>
      </c>
      <c r="G54" t="s">
        <v>207</v>
      </c>
      <c r="H54" s="7">
        <v>1</v>
      </c>
      <c r="J54" s="315">
        <f>INDEX('Volume adjustments'!$J$481:$Y$521, J$36 + 1 + $H54*$H$59, J$37)</f>
        <v>2538014.9194967723</v>
      </c>
      <c r="K54" s="315">
        <f>INDEX('Volume adjustments'!$J$481:$Y$521, K$36 + 1 + $H54*$H$59, K$37)</f>
        <v>16256.552449380286</v>
      </c>
      <c r="L54" s="315">
        <f>INDEX('Volume adjustments'!$J$481:$Y$521, L$36 + 1 + $H54*$H$59, L$37)</f>
        <v>89.69185070579644</v>
      </c>
      <c r="M54" s="315">
        <f>INDEX('Volume adjustments'!$J$481:$Y$521, M$36 + 1 + $H54*$H$59, M$37)</f>
        <v>86718.601524606216</v>
      </c>
      <c r="N54" s="315">
        <f>INDEX('Volume adjustments'!$J$481:$Y$521, N$36 + 1 + $H54*$H$59, N$37)</f>
        <v>152500.32564653366</v>
      </c>
      <c r="O54" s="315">
        <f>INDEX('Volume adjustments'!$J$481:$Y$521, O$36 + 1 + $H54*$H$59, O$37)</f>
        <v>186735.13702870524</v>
      </c>
      <c r="P54" s="315">
        <f>INDEX('Volume adjustments'!$J$481:$Y$521, P$36 + 1 + $H54*$H$59, P$37)</f>
        <v>568234.86863453756</v>
      </c>
      <c r="Q54" s="315">
        <f>INDEX('Volume adjustments'!$J$481:$Y$521, Q$36 + 1 + $H54*$H$59, Q$37)</f>
        <v>7645.8209999999999</v>
      </c>
      <c r="R54" s="315">
        <f>INDEX('Volume adjustments'!$J$481:$Y$521, R$36 + 1 + $H54*$H$59, R$37)</f>
        <v>47.630057456640778</v>
      </c>
      <c r="S54" s="315">
        <f>INDEX('Volume adjustments'!$J$481:$Y$521, S$36 + 1 + $H54*$H$59, S$37)</f>
        <v>229725.94657336865</v>
      </c>
      <c r="T54" s="315">
        <f>INDEX('Volume adjustments'!$J$481:$Y$521, T$36 + 1 + $H54*$H$59, T$37)</f>
        <v>332142.60060530039</v>
      </c>
      <c r="U54" s="315">
        <f>INDEX('Volume adjustments'!$J$481:$Y$521, U$36 + 1 + $H54*$H$59, U$37)</f>
        <v>192056.05825753493</v>
      </c>
      <c r="V54" s="315">
        <f>INDEX('Volume adjustments'!$J$481:$Y$521, V$36 + 1 + $H54*$H$59, V$37)</f>
        <v>464262.89714032284</v>
      </c>
      <c r="W54" s="315">
        <f>INDEX('Volume adjustments'!$J$481:$Y$521, W$36 + 1 + $H54*$H$59, W$37)</f>
        <v>0.55054459369022912</v>
      </c>
      <c r="X54" s="315">
        <f>INDEX('Volume adjustments'!$J$481:$Y$521, X$36 + 1 + $H54*$H$59, X$37)</f>
        <v>570.50233209290229</v>
      </c>
      <c r="Y54" s="315">
        <f>INDEX('Volume adjustments'!$J$481:$Y$521, Y$36 + 1 + $H54*$H$59, Y$37)</f>
        <v>3051.1962128352056</v>
      </c>
      <c r="Z54" s="315">
        <f>INDEX('Volume adjustments'!$J$481:$Y$521, Z$36 + 1 + $H54*$H$59, Z$37)</f>
        <v>9269.8260636899286</v>
      </c>
      <c r="AA54" s="315">
        <f>INDEX('Volume adjustments'!$J$481:$Y$521, AA$36 + 1 + $H54*$H$59, AA$37)</f>
        <v>112988.70826887812</v>
      </c>
      <c r="AB54" s="315">
        <f>INDEX('Volume adjustments'!$J$481:$Y$521, AB$36 + 1 + $H54*$H$59, AB$37)</f>
        <v>2309.276574110876</v>
      </c>
      <c r="AC54" s="315">
        <f>INDEX('Volume adjustments'!$J$481:$Y$521, AC$36 + 1 + $H54*$H$59, AC$37)</f>
        <v>82110.252176217517</v>
      </c>
      <c r="AD54" s="315">
        <f>INDEX('Volume adjustments'!$J$481:$Y$521, AD$36 + 1 + $H54*$H$59, AD$37)</f>
        <v>303147.54777344479</v>
      </c>
      <c r="AE54" s="315">
        <f>INDEX('Volume adjustments'!$J$481:$Y$521, AE$36 + 1 + $H54*$H$59, AE$37)</f>
        <v>263630.76479248831</v>
      </c>
      <c r="AF54" s="315">
        <f>INDEX('Volume adjustments'!$J$481:$Y$521, AF$36 + 1 + $H54*$H$59, AF$37)</f>
        <v>768573.83305879321</v>
      </c>
      <c r="AG54" s="315">
        <f>INDEX('Volume adjustments'!$J$481:$Y$521, AG$36 + 1 + $H54*$H$59, AG$37)</f>
        <v>61266.868596538225</v>
      </c>
      <c r="AH54" s="315">
        <f>INDEX('Volume adjustments'!$J$481:$Y$521, AH$36 + 1 + $H54*$H$59, AH$37)</f>
        <v>74880.496412313048</v>
      </c>
      <c r="AI54" s="315">
        <f>INDEX('Volume adjustments'!$J$481:$Y$521, AI$36 + 1 + $H54*$H$59, AI$37)</f>
        <v>227.37680998266927</v>
      </c>
      <c r="AJ54" s="315">
        <f>INDEX('Volume adjustments'!$J$481:$Y$521, AJ$36 + 1 + $H54*$H$59, AJ$37)</f>
        <v>27694.664000000004</v>
      </c>
      <c r="AK54" s="315">
        <f>INDEX('Volume adjustments'!$J$481:$Y$521, AK$36 + 1 + $H54*$H$59, AK$37)</f>
        <v>0</v>
      </c>
      <c r="AL54" s="315">
        <f>INDEX('Volume adjustments'!$J$481:$Y$521, AL$36 + 1 + $H54*$H$59, AL$37)</f>
        <v>326.78199999999998</v>
      </c>
      <c r="AM54" s="315">
        <f>INDEX('Volume adjustments'!$J$481:$Y$521, AM$36 + 1 + $H54*$H$59, AM$37)</f>
        <v>0</v>
      </c>
      <c r="AN54" s="315">
        <f>INDEX('Volume adjustments'!$J$481:$Y$521, AN$36 + 1 + $H54*$H$59, AN$37)</f>
        <v>421753.54499999998</v>
      </c>
      <c r="AO54" s="315">
        <f>INDEX('Volume adjustments'!$J$481:$Y$521, AO$36 + 1 + $H54*$H$59, AO$37)</f>
        <v>0</v>
      </c>
    </row>
    <row r="55" spans="4:41" x14ac:dyDescent="0.25">
      <c r="D55" s="100"/>
      <c r="F55" t="s">
        <v>158</v>
      </c>
      <c r="G55" t="s">
        <v>207</v>
      </c>
      <c r="H55" s="7">
        <v>2</v>
      </c>
      <c r="J55" s="315">
        <f>INDEX('Volume adjustments'!$J$481:$Y$521, J$36 + 1 + $H55*$H$59, J$37)</f>
        <v>2426681.8099287972</v>
      </c>
      <c r="K55" s="315">
        <f>INDEX('Volume adjustments'!$J$481:$Y$521, K$36 + 1 + $H55*$H$59, K$37)</f>
        <v>163502.90873996823</v>
      </c>
      <c r="L55" s="315">
        <f>INDEX('Volume adjustments'!$J$481:$Y$521, L$36 + 1 + $H55*$H$59, L$37)</f>
        <v>74.176229689763986</v>
      </c>
      <c r="M55" s="315">
        <f>INDEX('Volume adjustments'!$J$481:$Y$521, M$36 + 1 + $H55*$H$59, M$37)</f>
        <v>71674.790840635105</v>
      </c>
      <c r="N55" s="315">
        <f>INDEX('Volume adjustments'!$J$481:$Y$521, N$36 + 1 + $H55*$H$59, N$37)</f>
        <v>126055.92820700265</v>
      </c>
      <c r="O55" s="315">
        <f>INDEX('Volume adjustments'!$J$481:$Y$521, O$36 + 1 + $H55*$H$59, O$37)</f>
        <v>154384.49059354595</v>
      </c>
      <c r="P55" s="315">
        <f>INDEX('Volume adjustments'!$J$481:$Y$521, P$36 + 1 + $H55*$H$59, P$37)</f>
        <v>469901.47184932401</v>
      </c>
      <c r="Q55" s="315">
        <f>INDEX('Volume adjustments'!$J$481:$Y$521, Q$36 + 1 + $H55*$H$59, Q$37)</f>
        <v>33432.284</v>
      </c>
      <c r="R55" s="315">
        <f>INDEX('Volume adjustments'!$J$481:$Y$521, R$36 + 1 + $H55*$H$59, R$37)</f>
        <v>60.893809608235522</v>
      </c>
      <c r="S55" s="315">
        <f>INDEX('Volume adjustments'!$J$481:$Y$521, S$36 + 1 + $H55*$H$59, S$37)</f>
        <v>202127.27538562487</v>
      </c>
      <c r="T55" s="315">
        <f>INDEX('Volume adjustments'!$J$481:$Y$521, T$36 + 1 + $H55*$H$59, T$37)</f>
        <v>291472.15441685508</v>
      </c>
      <c r="U55" s="315">
        <f>INDEX('Volume adjustments'!$J$481:$Y$521, U$36 + 1 + $H55*$H$59, U$37)</f>
        <v>174299.77743221092</v>
      </c>
      <c r="V55" s="315">
        <f>INDEX('Volume adjustments'!$J$481:$Y$521, V$36 + 1 + $H55*$H$59, V$37)</f>
        <v>416076.60813448671</v>
      </c>
      <c r="W55" s="315">
        <f>INDEX('Volume adjustments'!$J$481:$Y$521, W$36 + 1 + $H55*$H$59, W$37)</f>
        <v>0.77911003872407869</v>
      </c>
      <c r="X55" s="315">
        <f>INDEX('Volume adjustments'!$J$481:$Y$521, X$36 + 1 + $H55*$H$59, X$37)</f>
        <v>603.57575198930022</v>
      </c>
      <c r="Y55" s="315">
        <f>INDEX('Volume adjustments'!$J$481:$Y$521, Y$36 + 1 + $H55*$H$59, Y$37)</f>
        <v>3129.4013494973974</v>
      </c>
      <c r="Z55" s="315">
        <f>INDEX('Volume adjustments'!$J$481:$Y$521, Z$36 + 1 + $H55*$H$59, Z$37)</f>
        <v>10256.145044397053</v>
      </c>
      <c r="AA55" s="315">
        <f>INDEX('Volume adjustments'!$J$481:$Y$521, AA$36 + 1 + $H55*$H$59, AA$37)</f>
        <v>113605.9878264474</v>
      </c>
      <c r="AB55" s="315">
        <f>INDEX('Volume adjustments'!$J$481:$Y$521, AB$36 + 1 + $H55*$H$59, AB$37)</f>
        <v>2960.6388173812438</v>
      </c>
      <c r="AC55" s="315">
        <f>INDEX('Volume adjustments'!$J$481:$Y$521, AC$36 + 1 + $H55*$H$59, AC$37)</f>
        <v>85679.170237664148</v>
      </c>
      <c r="AD55" s="315">
        <f>INDEX('Volume adjustments'!$J$481:$Y$521, AD$36 + 1 + $H55*$H$59, AD$37)</f>
        <v>303422.32300352567</v>
      </c>
      <c r="AE55" s="315">
        <f>INDEX('Volume adjustments'!$J$481:$Y$521, AE$36 + 1 + $H55*$H$59, AE$37)</f>
        <v>276913.14959383686</v>
      </c>
      <c r="AF55" s="315">
        <f>INDEX('Volume adjustments'!$J$481:$Y$521, AF$36 + 1 + $H55*$H$59, AF$37)</f>
        <v>894501.02365176321</v>
      </c>
      <c r="AG55" s="315">
        <f>INDEX('Volume adjustments'!$J$481:$Y$521, AG$36 + 1 + $H55*$H$59, AG$37)</f>
        <v>139201.6946331106</v>
      </c>
      <c r="AH55" s="315">
        <f>INDEX('Volume adjustments'!$J$481:$Y$521, AH$36 + 1 + $H55*$H$59, AH$37)</f>
        <v>34204.372287182821</v>
      </c>
      <c r="AI55" s="315">
        <f>INDEX('Volume adjustments'!$J$481:$Y$521, AI$36 + 1 + $H55*$H$59, AI$37)</f>
        <v>201.46913946310823</v>
      </c>
      <c r="AJ55" s="315">
        <f>INDEX('Volume adjustments'!$J$481:$Y$521, AJ$36 + 1 + $H55*$H$59, AJ$37)</f>
        <v>29331.213000000003</v>
      </c>
      <c r="AK55" s="315">
        <f>INDEX('Volume adjustments'!$J$481:$Y$521, AK$36 + 1 + $H55*$H$59, AK$37)</f>
        <v>0</v>
      </c>
      <c r="AL55" s="315">
        <f>INDEX('Volume adjustments'!$J$481:$Y$521, AL$36 + 1 + $H55*$H$59, AL$37)</f>
        <v>309.74</v>
      </c>
      <c r="AM55" s="315">
        <f>INDEX('Volume adjustments'!$J$481:$Y$521, AM$36 + 1 + $H55*$H$59, AM$37)</f>
        <v>0</v>
      </c>
      <c r="AN55" s="315">
        <f>INDEX('Volume adjustments'!$J$481:$Y$521, AN$36 + 1 + $H55*$H$59, AN$37)</f>
        <v>491598.924</v>
      </c>
      <c r="AO55" s="315">
        <f>INDEX('Volume adjustments'!$J$481:$Y$521, AO$36 + 1 + $H55*$H$59, AO$37)</f>
        <v>0</v>
      </c>
    </row>
    <row r="56" spans="4:41" x14ac:dyDescent="0.25">
      <c r="D56" s="100"/>
      <c r="F56" t="s">
        <v>212</v>
      </c>
      <c r="G56" t="s">
        <v>212</v>
      </c>
      <c r="H56" s="7">
        <v>3</v>
      </c>
      <c r="J56" s="315">
        <f>INDEX('Volume adjustments'!$J$481:$Y$521, J$36 + 1 + $H56*$H$59, J$37)</f>
        <v>1933377.9905270939</v>
      </c>
      <c r="K56" s="315">
        <f>INDEX('Volume adjustments'!$J$481:$Y$521, K$36 + 1 + $H56*$H$59, K$37)</f>
        <v>90264.674203310205</v>
      </c>
      <c r="L56" s="315">
        <f>INDEX('Volume adjustments'!$J$481:$Y$521, L$36 + 1 + $H56*$H$59, L$37)</f>
        <v>59</v>
      </c>
      <c r="M56" s="315">
        <f>INDEX('Volume adjustments'!$J$481:$Y$521, M$36 + 1 + $H56*$H$59, M$37)</f>
        <v>45710.425713914199</v>
      </c>
      <c r="N56" s="315">
        <f>INDEX('Volume adjustments'!$J$481:$Y$521, N$36 + 1 + $H56*$H$59, N$37)</f>
        <v>37543.945659249985</v>
      </c>
      <c r="O56" s="315">
        <f>INDEX('Volume adjustments'!$J$481:$Y$521, O$36 + 1 + $H56*$H$59, O$37)</f>
        <v>21242.534553764388</v>
      </c>
      <c r="P56" s="315">
        <f>INDEX('Volume adjustments'!$J$481:$Y$521, P$36 + 1 + $H56*$H$59, P$37)</f>
        <v>22099.690509572371</v>
      </c>
      <c r="Q56" s="315">
        <f>INDEX('Volume adjustments'!$J$481:$Y$521, Q$36 + 1 + $H56*$H$59, Q$37)</f>
        <v>5142</v>
      </c>
      <c r="R56" s="315">
        <f>INDEX('Volume adjustments'!$J$481:$Y$521, R$36 + 1 + $H56*$H$59, R$37)</f>
        <v>24</v>
      </c>
      <c r="S56" s="315">
        <f>INDEX('Volume adjustments'!$J$481:$Y$521, S$36 + 1 + $H56*$H$59, S$37)</f>
        <v>4627.7902960220554</v>
      </c>
      <c r="T56" s="315">
        <f>INDEX('Volume adjustments'!$J$481:$Y$521, T$36 + 1 + $H56*$H$59, T$37)</f>
        <v>3900.2995661515215</v>
      </c>
      <c r="U56" s="315">
        <f>INDEX('Volume adjustments'!$J$481:$Y$521, U$36 + 1 + $H56*$H$59, U$37)</f>
        <v>1355.3228535974627</v>
      </c>
      <c r="V56" s="315">
        <f>INDEX('Volume adjustments'!$J$481:$Y$521, V$36 + 1 + $H56*$H$59, V$37)</f>
        <v>1660.2445722738389</v>
      </c>
      <c r="W56" s="315">
        <f>INDEX('Volume adjustments'!$J$481:$Y$521, W$36 + 1 + $H56*$H$59, W$37)</f>
        <v>1</v>
      </c>
      <c r="X56" s="315">
        <f>INDEX('Volume adjustments'!$J$481:$Y$521, X$36 + 1 + $H56*$H$59, X$37)</f>
        <v>9</v>
      </c>
      <c r="Y56" s="315">
        <f>INDEX('Volume adjustments'!$J$481:$Y$521, Y$36 + 1 + $H56*$H$59, Y$37)</f>
        <v>24.983040235209277</v>
      </c>
      <c r="Z56" s="315">
        <f>INDEX('Volume adjustments'!$J$481:$Y$521, Z$36 + 1 + $H56*$H$59, Z$37)</f>
        <v>42.661013411736427</v>
      </c>
      <c r="AA56" s="315">
        <f>INDEX('Volume adjustments'!$J$481:$Y$521, AA$36 + 1 + $H56*$H$59, AA$37)</f>
        <v>235.10154988119345</v>
      </c>
      <c r="AB56" s="315">
        <f>INDEX('Volume adjustments'!$J$481:$Y$521, AB$36 + 1 + $H56*$H$59, AB$37)</f>
        <v>148</v>
      </c>
      <c r="AC56" s="315">
        <f>INDEX('Volume adjustments'!$J$481:$Y$521, AC$36 + 1 + $H56*$H$59, AC$37)</f>
        <v>354.83512211833926</v>
      </c>
      <c r="AD56" s="315">
        <f>INDEX('Volume adjustments'!$J$481:$Y$521, AD$36 + 1 + $H56*$H$59, AD$37)</f>
        <v>405.55674807889284</v>
      </c>
      <c r="AE56" s="315">
        <f>INDEX('Volume adjustments'!$J$481:$Y$521, AE$36 + 1 + $H56*$H$59, AE$37)</f>
        <v>185.31620609204165</v>
      </c>
      <c r="AF56" s="315">
        <f>INDEX('Volume adjustments'!$J$481:$Y$521, AF$36 + 1 + $H56*$H$59, AF$37)</f>
        <v>211.07566410519047</v>
      </c>
      <c r="AG56" s="315">
        <f>INDEX('Volume adjustments'!$J$481:$Y$521, AG$36 + 1 + $H56*$H$59, AG$37)</f>
        <v>4926.735629790157</v>
      </c>
      <c r="AH56" s="315">
        <f>INDEX('Volume adjustments'!$J$481:$Y$521, AH$36 + 1 + $H56*$H$59, AH$37)</f>
        <v>14150.894574354708</v>
      </c>
      <c r="AI56" s="315">
        <f>INDEX('Volume adjustments'!$J$481:$Y$521, AI$36 + 1 + $H56*$H$59, AI$37)</f>
        <v>7</v>
      </c>
      <c r="AJ56" s="315">
        <f>INDEX('Volume adjustments'!$J$481:$Y$521, AJ$36 + 1 + $H56*$H$59, AJ$37)</f>
        <v>549</v>
      </c>
      <c r="AK56" s="315">
        <f>INDEX('Volume adjustments'!$J$481:$Y$521, AK$36 + 1 + $H56*$H$59, AK$37)</f>
        <v>0</v>
      </c>
      <c r="AL56" s="315">
        <f>INDEX('Volume adjustments'!$J$481:$Y$521, AL$36 + 1 + $H56*$H$59, AL$37)</f>
        <v>9</v>
      </c>
      <c r="AM56" s="315">
        <f>INDEX('Volume adjustments'!$J$481:$Y$521, AM$36 + 1 + $H56*$H$59, AM$37)</f>
        <v>0</v>
      </c>
      <c r="AN56" s="315">
        <f>INDEX('Volume adjustments'!$J$481:$Y$521, AN$36 + 1 + $H56*$H$59, AN$37)</f>
        <v>263</v>
      </c>
      <c r="AO56" s="315">
        <f>INDEX('Volume adjustments'!$J$481:$Y$521, AO$36 + 1 + $H56*$H$59, AO$37)</f>
        <v>0</v>
      </c>
    </row>
    <row r="57" spans="4:41" x14ac:dyDescent="0.25">
      <c r="D57" s="100"/>
      <c r="F57" t="s">
        <v>734</v>
      </c>
      <c r="G57" t="s">
        <v>251</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992</v>
      </c>
      <c r="S57" s="315">
        <f>INDEX('Volume adjustments'!$J$481:$Y$521, S$36 + 1 + $H57*$H$59, S$37)</f>
        <v>258581.67396016055</v>
      </c>
      <c r="T57" s="315">
        <f>INDEX('Volume adjustments'!$J$481:$Y$521, T$36 + 1 + $H57*$H$59, T$37)</f>
        <v>437282.80530677165</v>
      </c>
      <c r="U57" s="315">
        <f>INDEX('Volume adjustments'!$J$481:$Y$521, U$36 + 1 + $H57*$H$59, U$37)</f>
        <v>251001.77896331871</v>
      </c>
      <c r="V57" s="315">
        <f>INDEX('Volume adjustments'!$J$481:$Y$521, V$36 + 1 + $H57*$H$59, V$37)</f>
        <v>654702.38145687385</v>
      </c>
      <c r="W57" s="315">
        <f>INDEX('Volume adjustments'!$J$481:$Y$521, W$36 + 1 + $H57*$H$59, W$37)</f>
        <v>8</v>
      </c>
      <c r="X57" s="315">
        <f>INDEX('Volume adjustments'!$J$481:$Y$521, X$36 + 1 + $H57*$H$59, X$37)</f>
        <v>456</v>
      </c>
      <c r="Y57" s="315">
        <f>INDEX('Volume adjustments'!$J$481:$Y$521, Y$36 + 1 + $H57*$H$59, Y$37)</f>
        <v>2836.151385637811</v>
      </c>
      <c r="Z57" s="315">
        <f>INDEX('Volume adjustments'!$J$481:$Y$521, Z$36 + 1 + $H57*$H$59, Z$37)</f>
        <v>8300.7280176406966</v>
      </c>
      <c r="AA57" s="315">
        <f>INDEX('Volume adjustments'!$J$481:$Y$521, AA$36 + 1 + $H57*$H$59, AA$37)</f>
        <v>116412.36190817594</v>
      </c>
      <c r="AB57" s="315">
        <f>INDEX('Volume adjustments'!$J$481:$Y$521, AB$36 + 1 + $H57*$H$59, AB$37)</f>
        <v>14725</v>
      </c>
      <c r="AC57" s="315">
        <f>INDEX('Volume adjustments'!$J$481:$Y$521, AC$36 + 1 + $H57*$H$59, AC$37)</f>
        <v>73567.193330067181</v>
      </c>
      <c r="AD57" s="315">
        <f>INDEX('Volume adjustments'!$J$481:$Y$521, AD$36 + 1 + $H57*$H$59, AD$37)</f>
        <v>281768.19735858485</v>
      </c>
      <c r="AE57" s="315">
        <f>INDEX('Volume adjustments'!$J$481:$Y$521, AE$36 + 1 + $H57*$H$59, AE$37)</f>
        <v>252577.79692622856</v>
      </c>
      <c r="AF57" s="315">
        <f>INDEX('Volume adjustments'!$J$481:$Y$521, AF$36 + 1 + $H57*$H$59, AF$37)</f>
        <v>726078.42590505234</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252</v>
      </c>
      <c r="G58" t="s">
        <v>251</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23.583333333333332</v>
      </c>
      <c r="S58" s="315">
        <f>INDEX('Volume adjustments'!$J$481:$Y$521, S$36 + 1 + $H58*$H$59, S$37)</f>
        <v>14154.328032556781</v>
      </c>
      <c r="T58" s="315">
        <f>INDEX('Volume adjustments'!$J$481:$Y$521, T$36 + 1 + $H58*$H$59, T$37)</f>
        <v>6639.4151372443876</v>
      </c>
      <c r="U58" s="315">
        <f>INDEX('Volume adjustments'!$J$481:$Y$521, U$36 + 1 + $H58*$H$59, U$37)</f>
        <v>1214.46368462957</v>
      </c>
      <c r="V58" s="315">
        <f>INDEX('Volume adjustments'!$J$481:$Y$521, V$36 + 1 + $H58*$H$59, V$37)</f>
        <v>1703.6383790814625</v>
      </c>
      <c r="W58" s="315">
        <f>INDEX('Volume adjustments'!$J$481:$Y$521, W$36 + 1 + $H58*$H$59, W$37)</f>
        <v>10.416666666666666</v>
      </c>
      <c r="X58" s="315">
        <f>INDEX('Volume adjustments'!$J$481:$Y$521, X$36 + 1 + $H58*$H$59, X$37)</f>
        <v>310.16666666666663</v>
      </c>
      <c r="Y58" s="315">
        <f>INDEX('Volume adjustments'!$J$481:$Y$521, Y$36 + 1 + $H58*$H$59, Y$37)</f>
        <v>240.66666666666666</v>
      </c>
      <c r="Z58" s="315">
        <f>INDEX('Volume adjustments'!$J$481:$Y$521, Z$36 + 1 + $H58*$H$59, Z$37)</f>
        <v>59.583333333333336</v>
      </c>
      <c r="AA58" s="315">
        <f>INDEX('Volume adjustments'!$J$481:$Y$521, AA$36 + 1 + $H58*$H$59, AA$37)</f>
        <v>348.83333333333331</v>
      </c>
      <c r="AB58" s="315">
        <f>INDEX('Volume adjustments'!$J$481:$Y$521, AB$36 + 1 + $H58*$H$59, AB$37)</f>
        <v>1297.6666666666667</v>
      </c>
      <c r="AC58" s="315">
        <f>INDEX('Volume adjustments'!$J$481:$Y$521, AC$36 + 1 + $H58*$H$59, AC$37)</f>
        <v>4117.416666666667</v>
      </c>
      <c r="AD58" s="315">
        <f>INDEX('Volume adjustments'!$J$481:$Y$521, AD$36 + 1 + $H58*$H$59, AD$37)</f>
        <v>1959.1127145021962</v>
      </c>
      <c r="AE58" s="315">
        <f>INDEX('Volume adjustments'!$J$481:$Y$521, AE$36 + 1 + $H58*$H$59, AE$37)</f>
        <v>1505.75</v>
      </c>
      <c r="AF58" s="315">
        <f>INDEX('Volume adjustments'!$J$481:$Y$521, AF$36 + 1 + $H58*$H$59, AF$37)</f>
        <v>3677.916666666667</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215</v>
      </c>
      <c r="G59" s="96" t="s">
        <v>254</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57.555</v>
      </c>
      <c r="S59" s="257">
        <f>INDEX('Volume adjustments'!$J$481:$Y$521, S$36 + 1 + $H59*$H$59, S$37)</f>
        <v>47380.8735315136</v>
      </c>
      <c r="T59" s="257">
        <f>INDEX('Volume adjustments'!$J$481:$Y$521, T$36 + 1 + $H59*$H$59, T$37)</f>
        <v>58287.982394806146</v>
      </c>
      <c r="U59" s="257">
        <f>INDEX('Volume adjustments'!$J$481:$Y$521, U$36 + 1 + $H59*$H$59, U$37)</f>
        <v>31493.432274132127</v>
      </c>
      <c r="V59" s="257">
        <f>INDEX('Volume adjustments'!$J$481:$Y$521, V$36 + 1 + $H59*$H$59, V$37)</f>
        <v>82605.021215052169</v>
      </c>
      <c r="W59" s="257">
        <f>INDEX('Volume adjustments'!$J$481:$Y$521, W$36 + 1 + $H59*$H$59, W$37)</f>
        <v>2.9279999999999999</v>
      </c>
      <c r="X59" s="257">
        <f>INDEX('Volume adjustments'!$J$481:$Y$521, X$36 + 1 + $H59*$H$59, X$37)</f>
        <v>657.54399999999998</v>
      </c>
      <c r="Y59" s="257">
        <f>INDEX('Volume adjustments'!$J$481:$Y$521, Y$36 + 1 + $H59*$H$59, Y$37)</f>
        <v>566.36953833871985</v>
      </c>
      <c r="Z59" s="257">
        <f>INDEX('Volume adjustments'!$J$481:$Y$521, Z$36 + 1 + $H59*$H$59, Z$37)</f>
        <v>2099.3507453948209</v>
      </c>
      <c r="AA59" s="257">
        <f>INDEX('Volume adjustments'!$J$481:$Y$521, AA$36 + 1 + $H59*$H$59, AA$37)</f>
        <v>18509.411411537712</v>
      </c>
      <c r="AB59" s="257">
        <f>INDEX('Volume adjustments'!$J$481:$Y$521, AB$36 + 1 + $H59*$H$59, AB$37)</f>
        <v>1841.1489999999999</v>
      </c>
      <c r="AC59" s="257">
        <f>INDEX('Volume adjustments'!$J$481:$Y$521, AC$36 + 1 + $H59*$H$59, AC$37)</f>
        <v>22345.143800792608</v>
      </c>
      <c r="AD59" s="257">
        <f>INDEX('Volume adjustments'!$J$481:$Y$521, AD$36 + 1 + $H59*$H$59, AD$37)</f>
        <v>33920.826334854544</v>
      </c>
      <c r="AE59" s="257">
        <f>INDEX('Volume adjustments'!$J$481:$Y$521, AE$36 + 1 + $H59*$H$59, AE$37)</f>
        <v>31126.877608458952</v>
      </c>
      <c r="AF59" s="257">
        <f>INDEX('Volume adjustments'!$J$481:$Y$521, AF$36 + 1 + $H59*$H$59, AF$37)</f>
        <v>131880.74224683247</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6086.7480000000014</v>
      </c>
      <c r="AK59" s="257">
        <f>INDEX('Volume adjustments'!$J$481:$Y$521, AK$36 + 1 + $H59*$H$59, AK$37)</f>
        <v>0</v>
      </c>
      <c r="AL59" s="257">
        <f>INDEX('Volume adjustments'!$J$481:$Y$521, AL$36 + 1 + $H59*$H$59, AL$37)</f>
        <v>184.05</v>
      </c>
      <c r="AM59" s="257">
        <f>INDEX('Volume adjustments'!$J$481:$Y$521, AM$36 + 1 + $H59*$H$59, AM$37)</f>
        <v>0</v>
      </c>
      <c r="AN59" s="257">
        <f>INDEX('Volume adjustments'!$J$481:$Y$521, AN$36 + 1 + $H59*$H$59, AN$37)</f>
        <v>18732.55</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735</v>
      </c>
      <c r="G61" t="s">
        <v>277</v>
      </c>
      <c r="H61" s="163">
        <f>'General inputs'!$H$88</f>
        <v>479356811.17355114</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870</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868</v>
      </c>
      <c r="G64" s="90" t="s">
        <v>277</v>
      </c>
      <c r="H64" s="167">
        <f>'General inputs'!H53</f>
        <v>596635.98809000081</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869</v>
      </c>
      <c r="G65" s="15" t="s">
        <v>277</v>
      </c>
      <c r="H65" s="317">
        <f>'General inputs'!H54</f>
        <v>301897.56459469994</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1142</v>
      </c>
      <c r="G66" s="91" t="s">
        <v>277</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883</v>
      </c>
      <c r="F68"/>
      <c r="G68" s="15" t="s">
        <v>277</v>
      </c>
      <c r="H68" s="319">
        <f>H61 - H64  - H65 - H66</f>
        <v>478458277.62086648</v>
      </c>
      <c r="I68" s="15" t="s">
        <v>154</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1149</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736</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737</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738</v>
      </c>
      <c r="F75" s="60"/>
      <c r="H75" s="171" t="s">
        <v>543</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156</v>
      </c>
      <c r="G76" s="90" t="s">
        <v>277</v>
      </c>
      <c r="H76" s="222">
        <f t="shared" ref="H76:H83" si="8">SUM(J76:AO76)</f>
        <v>146852286.86056757</v>
      </c>
      <c r="I76" s="172"/>
      <c r="J76" s="302">
        <f t="shared" ref="J76:AO76" si="9">J53 * thousand * J40 / hundred</f>
        <v>85676012.474829316</v>
      </c>
      <c r="K76" s="302">
        <f t="shared" si="9"/>
        <v>68719.54058748961</v>
      </c>
      <c r="L76" s="302">
        <f t="shared" si="9"/>
        <v>2334.8774915288022</v>
      </c>
      <c r="M76" s="302">
        <f t="shared" si="9"/>
        <v>2257508.5808448861</v>
      </c>
      <c r="N76" s="302">
        <f t="shared" si="9"/>
        <v>3969991.1919943746</v>
      </c>
      <c r="O76" s="302">
        <f t="shared" si="9"/>
        <v>4861215.3505925527</v>
      </c>
      <c r="P76" s="302">
        <f t="shared" si="9"/>
        <v>14792788.913244229</v>
      </c>
      <c r="Q76" s="302">
        <f t="shared" si="9"/>
        <v>65254.348066947321</v>
      </c>
      <c r="R76" s="302">
        <f t="shared" si="9"/>
        <v>1173.9204310613832</v>
      </c>
      <c r="S76" s="302">
        <f t="shared" si="9"/>
        <v>4828066.1345936088</v>
      </c>
      <c r="T76" s="302">
        <f t="shared" si="9"/>
        <v>7193362.1946533965</v>
      </c>
      <c r="U76" s="302">
        <f t="shared" si="9"/>
        <v>3996884.6489467043</v>
      </c>
      <c r="V76" s="302">
        <f t="shared" si="9"/>
        <v>9461778.2452086173</v>
      </c>
      <c r="W76" s="302">
        <f t="shared" si="9"/>
        <v>7.8775383302694033</v>
      </c>
      <c r="X76" s="302">
        <f t="shared" si="9"/>
        <v>6740.8204902369853</v>
      </c>
      <c r="Y76" s="302">
        <f t="shared" si="9"/>
        <v>39530.491517050476</v>
      </c>
      <c r="Z76" s="302">
        <f t="shared" si="9"/>
        <v>110313.8783651214</v>
      </c>
      <c r="AA76" s="302">
        <f t="shared" si="9"/>
        <v>1331693.7088150445</v>
      </c>
      <c r="AB76" s="302">
        <f t="shared" si="9"/>
        <v>19719.366544626198</v>
      </c>
      <c r="AC76" s="302">
        <f t="shared" si="9"/>
        <v>673751.7453983681</v>
      </c>
      <c r="AD76" s="302">
        <f t="shared" si="9"/>
        <v>2498319.4927382302</v>
      </c>
      <c r="AE76" s="302">
        <f t="shared" si="9"/>
        <v>2223318.5773779298</v>
      </c>
      <c r="AF76" s="302">
        <f t="shared" si="9"/>
        <v>6551901.2162960218</v>
      </c>
      <c r="AG76" s="302">
        <f t="shared" si="9"/>
        <v>3338109.8777140798</v>
      </c>
      <c r="AH76" s="302">
        <f t="shared" si="9"/>
        <v>-1190915.956574372</v>
      </c>
      <c r="AI76" s="302">
        <f t="shared" si="9"/>
        <v>-3904.6217470821443</v>
      </c>
      <c r="AJ76" s="302">
        <f t="shared" si="9"/>
        <v>-507477.72163598001</v>
      </c>
      <c r="AK76" s="302">
        <f t="shared" si="9"/>
        <v>0</v>
      </c>
      <c r="AL76" s="302">
        <f t="shared" si="9"/>
        <v>-4838.5044995950066</v>
      </c>
      <c r="AM76" s="302">
        <f t="shared" si="9"/>
        <v>0</v>
      </c>
      <c r="AN76" s="302">
        <f t="shared" si="9"/>
        <v>-5409073.8092550924</v>
      </c>
      <c r="AO76" s="302">
        <f t="shared" si="9"/>
        <v>0</v>
      </c>
    </row>
    <row r="77" spans="1:43" x14ac:dyDescent="0.25">
      <c r="D77" s="100"/>
      <c r="F77" t="s">
        <v>157</v>
      </c>
      <c r="G77" t="s">
        <v>277</v>
      </c>
      <c r="H77" s="101">
        <f t="shared" si="8"/>
        <v>63100179.463447206</v>
      </c>
      <c r="I77" s="92"/>
      <c r="J77" s="310">
        <f t="shared" ref="J77" si="10">J54 * thousand * J41 / hundred</f>
        <v>32528673.181684442</v>
      </c>
      <c r="K77" s="310">
        <f t="shared" ref="K77:AO77" si="11">K54 * thousand * K41 / hundred</f>
        <v>208353.41732019931</v>
      </c>
      <c r="L77" s="310">
        <f t="shared" si="11"/>
        <v>1320.3646852703671</v>
      </c>
      <c r="M77" s="310">
        <f t="shared" si="11"/>
        <v>1276595.1210517653</v>
      </c>
      <c r="N77" s="310">
        <f t="shared" si="11"/>
        <v>2244975.9135464136</v>
      </c>
      <c r="O77" s="310">
        <f t="shared" si="11"/>
        <v>2748950.7518422874</v>
      </c>
      <c r="P77" s="310">
        <f t="shared" si="11"/>
        <v>8365054.8804630935</v>
      </c>
      <c r="Q77" s="310">
        <f t="shared" si="11"/>
        <v>112555.06446636567</v>
      </c>
      <c r="R77" s="310">
        <f t="shared" si="11"/>
        <v>490.31486161391035</v>
      </c>
      <c r="S77" s="310">
        <f t="shared" si="11"/>
        <v>2364852.1903586606</v>
      </c>
      <c r="T77" s="310">
        <f t="shared" si="11"/>
        <v>3419152.9875882254</v>
      </c>
      <c r="U77" s="310">
        <f t="shared" si="11"/>
        <v>1977069.6206356785</v>
      </c>
      <c r="V77" s="310">
        <f t="shared" si="11"/>
        <v>4779229.9719783925</v>
      </c>
      <c r="W77" s="310">
        <f t="shared" si="11"/>
        <v>2.5000871284749411</v>
      </c>
      <c r="X77" s="310">
        <f t="shared" si="11"/>
        <v>2590.7175432784834</v>
      </c>
      <c r="Y77" s="310">
        <f t="shared" si="11"/>
        <v>13855.837411878972</v>
      </c>
      <c r="Z77" s="310">
        <f t="shared" si="11"/>
        <v>42095.359922964999</v>
      </c>
      <c r="AA77" s="310">
        <f t="shared" si="11"/>
        <v>513094.88539810124</v>
      </c>
      <c r="AB77" s="310">
        <f t="shared" si="11"/>
        <v>6612.4218371599227</v>
      </c>
      <c r="AC77" s="310">
        <f t="shared" si="11"/>
        <v>235115.8932765669</v>
      </c>
      <c r="AD77" s="310">
        <f t="shared" si="11"/>
        <v>868037.84667949541</v>
      </c>
      <c r="AE77" s="310">
        <f t="shared" si="11"/>
        <v>754884.81787081179</v>
      </c>
      <c r="AF77" s="310">
        <f t="shared" si="11"/>
        <v>2200747.3916996736</v>
      </c>
      <c r="AG77" s="310">
        <f t="shared" si="11"/>
        <v>1041593.9439346773</v>
      </c>
      <c r="AH77" s="310">
        <f t="shared" si="11"/>
        <v>-708678.03874125972</v>
      </c>
      <c r="AI77" s="310">
        <f t="shared" si="11"/>
        <v>-1798.7487179974205</v>
      </c>
      <c r="AJ77" s="310">
        <f t="shared" si="11"/>
        <v>-262105.63641363438</v>
      </c>
      <c r="AK77" s="310">
        <f t="shared" si="11"/>
        <v>0</v>
      </c>
      <c r="AL77" s="310">
        <f t="shared" si="11"/>
        <v>-2585.1303992233647</v>
      </c>
      <c r="AM77" s="310">
        <f t="shared" si="11"/>
        <v>0</v>
      </c>
      <c r="AN77" s="310">
        <f t="shared" si="11"/>
        <v>-1630558.378424831</v>
      </c>
      <c r="AO77" s="310">
        <f t="shared" si="11"/>
        <v>0</v>
      </c>
    </row>
    <row r="78" spans="1:43" x14ac:dyDescent="0.25">
      <c r="D78" s="100"/>
      <c r="F78" t="s">
        <v>158</v>
      </c>
      <c r="G78" t="s">
        <v>277</v>
      </c>
      <c r="H78" s="101">
        <f t="shared" si="8"/>
        <v>1969687.8109316782</v>
      </c>
      <c r="I78" s="92"/>
      <c r="J78" s="310">
        <f t="shared" ref="J78" si="12">J55 * thousand * J42 / hundred</f>
        <v>627341.15705759567</v>
      </c>
      <c r="K78" s="310">
        <f t="shared" ref="K78:AO78" si="13">K55 * thousand * K42 / hundred</f>
        <v>42268.460385510443</v>
      </c>
      <c r="L78" s="310">
        <f t="shared" si="13"/>
        <v>22.025432084782114</v>
      </c>
      <c r="M78" s="310">
        <f t="shared" si="13"/>
        <v>21282.670263156033</v>
      </c>
      <c r="N78" s="310">
        <f t="shared" si="13"/>
        <v>37430.269740316064</v>
      </c>
      <c r="O78" s="310">
        <f t="shared" si="13"/>
        <v>45841.978309408034</v>
      </c>
      <c r="P78" s="310">
        <f t="shared" si="13"/>
        <v>139529.6444432881</v>
      </c>
      <c r="Q78" s="310">
        <f t="shared" si="13"/>
        <v>9927.1761824632395</v>
      </c>
      <c r="R78" s="310">
        <f t="shared" si="13"/>
        <v>12.844938596074439</v>
      </c>
      <c r="S78" s="310">
        <f t="shared" si="13"/>
        <v>42636.722149980982</v>
      </c>
      <c r="T78" s="310">
        <f t="shared" si="13"/>
        <v>61483.128581327677</v>
      </c>
      <c r="U78" s="310">
        <f t="shared" si="13"/>
        <v>36766.790464090082</v>
      </c>
      <c r="V78" s="310">
        <f t="shared" si="13"/>
        <v>87767.188769014043</v>
      </c>
      <c r="W78" s="310">
        <f t="shared" si="13"/>
        <v>7.7045461615814909E-2</v>
      </c>
      <c r="X78" s="310">
        <f t="shared" si="13"/>
        <v>59.687040495953845</v>
      </c>
      <c r="Y78" s="310">
        <f t="shared" si="13"/>
        <v>309.46356685126568</v>
      </c>
      <c r="Z78" s="310">
        <f t="shared" si="13"/>
        <v>1014.220572280636</v>
      </c>
      <c r="AA78" s="310">
        <f t="shared" si="13"/>
        <v>11234.389674587541</v>
      </c>
      <c r="AB78" s="310">
        <f t="shared" si="13"/>
        <v>192.08461123847633</v>
      </c>
      <c r="AC78" s="310">
        <f t="shared" si="13"/>
        <v>5558.8172423187152</v>
      </c>
      <c r="AD78" s="310">
        <f t="shared" si="13"/>
        <v>19685.872728899813</v>
      </c>
      <c r="AE78" s="310">
        <f t="shared" si="13"/>
        <v>17965.972199743934</v>
      </c>
      <c r="AF78" s="310">
        <f t="shared" si="13"/>
        <v>58034.732359736765</v>
      </c>
      <c r="AG78" s="310">
        <f t="shared" si="13"/>
        <v>756921.38170738088</v>
      </c>
      <c r="AH78" s="310">
        <f t="shared" si="13"/>
        <v>-6529.510911271318</v>
      </c>
      <c r="AI78" s="310">
        <f t="shared" si="13"/>
        <v>-32.403696933937432</v>
      </c>
      <c r="AJ78" s="310">
        <f t="shared" si="13"/>
        <v>-5599.2395859897006</v>
      </c>
      <c r="AK78" s="310">
        <f t="shared" si="13"/>
        <v>0</v>
      </c>
      <c r="AL78" s="310">
        <f t="shared" si="13"/>
        <v>-49.817659990331379</v>
      </c>
      <c r="AM78" s="310">
        <f t="shared" si="13"/>
        <v>0</v>
      </c>
      <c r="AN78" s="310">
        <f t="shared" si="13"/>
        <v>-41387.972679963481</v>
      </c>
      <c r="AO78" s="310">
        <f t="shared" si="13"/>
        <v>0</v>
      </c>
    </row>
    <row r="79" spans="1:43" x14ac:dyDescent="0.25">
      <c r="D79" s="100"/>
      <c r="F79" t="s">
        <v>159</v>
      </c>
      <c r="G79" t="s">
        <v>277</v>
      </c>
      <c r="H79" s="101">
        <f t="shared" si="8"/>
        <v>54291998.691752985</v>
      </c>
      <c r="I79" s="92"/>
      <c r="J79" s="302">
        <f t="shared" ref="J79" si="14">J56 * J43 * days_in_year / hundred</f>
        <v>48389324.328466311</v>
      </c>
      <c r="K79" s="302">
        <f t="shared" ref="K79:AO79" si="15">K56 * K43 * days_in_year / hundred</f>
        <v>0</v>
      </c>
      <c r="L79" s="302">
        <f t="shared" si="15"/>
        <v>1809.7885279704092</v>
      </c>
      <c r="M79" s="302">
        <f t="shared" si="15"/>
        <v>1402139.0519607717</v>
      </c>
      <c r="N79" s="302">
        <f t="shared" si="15"/>
        <v>1151637.3245568657</v>
      </c>
      <c r="O79" s="302">
        <f t="shared" si="15"/>
        <v>651601.61593928491</v>
      </c>
      <c r="P79" s="302">
        <f t="shared" si="15"/>
        <v>677894.34501560358</v>
      </c>
      <c r="Q79" s="302">
        <f t="shared" si="15"/>
        <v>0</v>
      </c>
      <c r="R79" s="302">
        <f t="shared" si="15"/>
        <v>2460.8887295501213</v>
      </c>
      <c r="S79" s="302">
        <f t="shared" si="15"/>
        <v>474519.8742584206</v>
      </c>
      <c r="T79" s="302">
        <f t="shared" si="15"/>
        <v>399925.1351754794</v>
      </c>
      <c r="U79" s="302">
        <f t="shared" si="15"/>
        <v>138970.78063832104</v>
      </c>
      <c r="V79" s="302">
        <f t="shared" si="15"/>
        <v>170236.54817522716</v>
      </c>
      <c r="W79" s="302">
        <f t="shared" si="15"/>
        <v>36.189540140442958</v>
      </c>
      <c r="X79" s="302">
        <f t="shared" si="15"/>
        <v>325.70586126398661</v>
      </c>
      <c r="Y79" s="302">
        <f t="shared" si="15"/>
        <v>904.12473742240752</v>
      </c>
      <c r="Z79" s="302">
        <f t="shared" si="15"/>
        <v>1543.8824572960107</v>
      </c>
      <c r="AA79" s="302">
        <f t="shared" si="15"/>
        <v>8508.2169765058024</v>
      </c>
      <c r="AB79" s="302">
        <f t="shared" si="15"/>
        <v>81093.849834086388</v>
      </c>
      <c r="AC79" s="302">
        <f t="shared" si="15"/>
        <v>194425.31154678587</v>
      </c>
      <c r="AD79" s="302">
        <f t="shared" si="15"/>
        <v>222217.28397236581</v>
      </c>
      <c r="AE79" s="302">
        <f t="shared" si="15"/>
        <v>101540.57154493668</v>
      </c>
      <c r="AF79" s="302">
        <f t="shared" si="15"/>
        <v>115654.98789578631</v>
      </c>
      <c r="AG79" s="302">
        <f t="shared" si="15"/>
        <v>0</v>
      </c>
      <c r="AH79" s="302">
        <f t="shared" si="15"/>
        <v>0</v>
      </c>
      <c r="AI79" s="302">
        <f t="shared" si="15"/>
        <v>0</v>
      </c>
      <c r="AJ79" s="302">
        <f t="shared" si="15"/>
        <v>0</v>
      </c>
      <c r="AK79" s="302">
        <f t="shared" si="15"/>
        <v>0</v>
      </c>
      <c r="AL79" s="302">
        <f t="shared" si="15"/>
        <v>0</v>
      </c>
      <c r="AM79" s="302">
        <f t="shared" si="15"/>
        <v>0</v>
      </c>
      <c r="AN79" s="302">
        <f t="shared" si="15"/>
        <v>105228.88594258245</v>
      </c>
      <c r="AO79" s="302">
        <f t="shared" si="15"/>
        <v>0</v>
      </c>
    </row>
    <row r="80" spans="1:43" x14ac:dyDescent="0.25">
      <c r="D80" s="100"/>
      <c r="F80" t="s">
        <v>734</v>
      </c>
      <c r="G80" t="s">
        <v>277</v>
      </c>
      <c r="H80" s="101">
        <f t="shared" si="8"/>
        <v>76186192.96717751</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18674.010691307194</v>
      </c>
      <c r="S80" s="320">
        <f t="shared" si="17"/>
        <v>4867698.532367086</v>
      </c>
      <c r="T80" s="320">
        <f t="shared" si="17"/>
        <v>8231677.199015582</v>
      </c>
      <c r="U80" s="320">
        <f t="shared" si="17"/>
        <v>4725009.9837682853</v>
      </c>
      <c r="V80" s="320">
        <f t="shared" si="17"/>
        <v>12324515.394102763</v>
      </c>
      <c r="W80" s="320">
        <f t="shared" si="17"/>
        <v>212.35047746147228</v>
      </c>
      <c r="X80" s="320">
        <f t="shared" si="17"/>
        <v>12103.977215303921</v>
      </c>
      <c r="Y80" s="320">
        <f t="shared" si="17"/>
        <v>75282.262611650673</v>
      </c>
      <c r="Z80" s="320">
        <f t="shared" si="17"/>
        <v>220332.94472797777</v>
      </c>
      <c r="AA80" s="320">
        <f t="shared" si="17"/>
        <v>3090027.5792023586</v>
      </c>
      <c r="AB80" s="320">
        <f t="shared" si="17"/>
        <v>465323.2514171268</v>
      </c>
      <c r="AC80" s="320">
        <f t="shared" si="17"/>
        <v>2324789.514294005</v>
      </c>
      <c r="AD80" s="320">
        <f t="shared" si="17"/>
        <v>8904128.6071877331</v>
      </c>
      <c r="AE80" s="320">
        <f t="shared" si="17"/>
        <v>7981685.6843115417</v>
      </c>
      <c r="AF80" s="320">
        <f t="shared" si="17"/>
        <v>22944731.675787318</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252</v>
      </c>
      <c r="G81" t="s">
        <v>277</v>
      </c>
      <c r="H81" s="101">
        <f t="shared" si="8"/>
        <v>869388.53822962672</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443.94699476141943</v>
      </c>
      <c r="S81" s="306">
        <f t="shared" si="19"/>
        <v>266449.67037120415</v>
      </c>
      <c r="T81" s="306">
        <f t="shared" si="19"/>
        <v>124984.38433158118</v>
      </c>
      <c r="U81" s="306">
        <f t="shared" si="19"/>
        <v>22861.802248968674</v>
      </c>
      <c r="V81" s="306">
        <f t="shared" si="19"/>
        <v>32070.323896258556</v>
      </c>
      <c r="W81" s="306">
        <f t="shared" si="19"/>
        <v>276.49801752795867</v>
      </c>
      <c r="X81" s="306">
        <f t="shared" si="19"/>
        <v>8233.0049699124975</v>
      </c>
      <c r="Y81" s="306">
        <f t="shared" si="19"/>
        <v>6388.2101969659589</v>
      </c>
      <c r="Z81" s="306">
        <f t="shared" si="19"/>
        <v>1581.5686602599242</v>
      </c>
      <c r="AA81" s="306">
        <f t="shared" si="19"/>
        <v>9259.3656109762815</v>
      </c>
      <c r="AB81" s="306">
        <f t="shared" si="19"/>
        <v>41007.434471236549</v>
      </c>
      <c r="AC81" s="306">
        <f t="shared" si="19"/>
        <v>130114.07203887276</v>
      </c>
      <c r="AD81" s="306">
        <f t="shared" si="19"/>
        <v>61909.724835639747</v>
      </c>
      <c r="AE81" s="306">
        <f t="shared" si="19"/>
        <v>47583.055064267479</v>
      </c>
      <c r="AF81" s="306">
        <f t="shared" si="19"/>
        <v>116225.47652119352</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215</v>
      </c>
      <c r="G82" s="96" t="s">
        <v>277</v>
      </c>
      <c r="H82" s="193">
        <f t="shared" si="8"/>
        <v>736563.50641738565</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128.36840371959934</v>
      </c>
      <c r="S82" s="306">
        <f t="shared" si="21"/>
        <v>105676.43301330235</v>
      </c>
      <c r="T82" s="306">
        <f t="shared" si="21"/>
        <v>130003.21876565674</v>
      </c>
      <c r="U82" s="306">
        <f t="shared" si="21"/>
        <v>70241.71016734693</v>
      </c>
      <c r="V82" s="306">
        <f t="shared" si="21"/>
        <v>184238.98379984163</v>
      </c>
      <c r="W82" s="306">
        <f t="shared" si="21"/>
        <v>3.4800471138170574</v>
      </c>
      <c r="X82" s="306">
        <f t="shared" si="21"/>
        <v>781.51779351356674</v>
      </c>
      <c r="Y82" s="306">
        <f t="shared" si="21"/>
        <v>673.15323676556056</v>
      </c>
      <c r="Z82" s="306">
        <f t="shared" si="21"/>
        <v>2495.1637644811935</v>
      </c>
      <c r="AA82" s="306">
        <f t="shared" si="21"/>
        <v>21999.188443024013</v>
      </c>
      <c r="AB82" s="306">
        <f t="shared" si="21"/>
        <v>1502.4226862775533</v>
      </c>
      <c r="AC82" s="306">
        <f t="shared" si="21"/>
        <v>18234.184726192747</v>
      </c>
      <c r="AD82" s="306">
        <f t="shared" si="21"/>
        <v>27680.225241284948</v>
      </c>
      <c r="AE82" s="306">
        <f t="shared" si="21"/>
        <v>25400.294637714564</v>
      </c>
      <c r="AF82" s="306">
        <f t="shared" si="21"/>
        <v>107617.9163309236</v>
      </c>
      <c r="AG82" s="306">
        <f t="shared" si="21"/>
        <v>0</v>
      </c>
      <c r="AH82" s="306">
        <f t="shared" si="21"/>
        <v>0</v>
      </c>
      <c r="AI82" s="306">
        <f t="shared" si="21"/>
        <v>0</v>
      </c>
      <c r="AJ82" s="306">
        <f t="shared" si="21"/>
        <v>12043.931604897651</v>
      </c>
      <c r="AK82" s="306">
        <f t="shared" si="21"/>
        <v>0</v>
      </c>
      <c r="AL82" s="306">
        <f t="shared" si="21"/>
        <v>300.68604437350791</v>
      </c>
      <c r="AM82" s="306">
        <f t="shared" si="21"/>
        <v>0</v>
      </c>
      <c r="AN82" s="306">
        <f t="shared" si="21"/>
        <v>27542.627710955818</v>
      </c>
      <c r="AO82" s="306">
        <f t="shared" si="21"/>
        <v>0</v>
      </c>
    </row>
    <row r="83" spans="2:43" x14ac:dyDescent="0.25">
      <c r="D83"/>
      <c r="E83" s="71"/>
      <c r="F83" s="151" t="s">
        <v>100</v>
      </c>
      <c r="G83" s="215" t="s">
        <v>277</v>
      </c>
      <c r="H83" s="227">
        <f t="shared" si="8"/>
        <v>344006297.83852404</v>
      </c>
      <c r="I83" s="228"/>
      <c r="J83" s="321">
        <f t="shared" ref="J83" si="22">SUM(J76:J82)</f>
        <v>167221351.14203766</v>
      </c>
      <c r="K83" s="321">
        <f t="shared" ref="K83:AO83" si="23">SUM(K76:K82)</f>
        <v>319341.41829319939</v>
      </c>
      <c r="L83" s="321">
        <f t="shared" si="23"/>
        <v>5487.0561368543604</v>
      </c>
      <c r="M83" s="321">
        <f t="shared" si="23"/>
        <v>4957525.4241205789</v>
      </c>
      <c r="N83" s="321">
        <f t="shared" si="23"/>
        <v>7404034.6998379696</v>
      </c>
      <c r="O83" s="321">
        <f t="shared" si="23"/>
        <v>8307609.6966835326</v>
      </c>
      <c r="P83" s="321">
        <f t="shared" si="23"/>
        <v>23975267.783166215</v>
      </c>
      <c r="Q83" s="321">
        <f t="shared" si="23"/>
        <v>187736.58871577622</v>
      </c>
      <c r="R83" s="321">
        <f t="shared" si="23"/>
        <v>23384.295050609704</v>
      </c>
      <c r="S83" s="321">
        <f t="shared" si="23"/>
        <v>12949899.557112264</v>
      </c>
      <c r="T83" s="321">
        <f t="shared" si="23"/>
        <v>19560588.248111248</v>
      </c>
      <c r="U83" s="321">
        <f t="shared" si="23"/>
        <v>10967805.336869394</v>
      </c>
      <c r="V83" s="321">
        <f t="shared" si="23"/>
        <v>27039836.655930113</v>
      </c>
      <c r="W83" s="321">
        <f t="shared" si="23"/>
        <v>538.97275316405114</v>
      </c>
      <c r="X83" s="321">
        <f t="shared" si="23"/>
        <v>30835.430914005392</v>
      </c>
      <c r="Y83" s="321">
        <f t="shared" si="23"/>
        <v>136943.5432785853</v>
      </c>
      <c r="Z83" s="321">
        <f t="shared" si="23"/>
        <v>379377.01847038197</v>
      </c>
      <c r="AA83" s="321">
        <f t="shared" si="23"/>
        <v>4985817.3341205986</v>
      </c>
      <c r="AB83" s="321">
        <f t="shared" si="23"/>
        <v>615450.83140175184</v>
      </c>
      <c r="AC83" s="321">
        <f t="shared" si="23"/>
        <v>3581989.5385231101</v>
      </c>
      <c r="AD83" s="321">
        <f t="shared" si="23"/>
        <v>12601979.053383648</v>
      </c>
      <c r="AE83" s="321">
        <f t="shared" si="23"/>
        <v>11152378.973006947</v>
      </c>
      <c r="AF83" s="321">
        <f t="shared" si="23"/>
        <v>32094913.396890655</v>
      </c>
      <c r="AG83" s="321">
        <f t="shared" si="23"/>
        <v>5136625.2033561375</v>
      </c>
      <c r="AH83" s="321">
        <f t="shared" si="23"/>
        <v>-1906123.5062269031</v>
      </c>
      <c r="AI83" s="321">
        <f t="shared" si="23"/>
        <v>-5735.7741620135021</v>
      </c>
      <c r="AJ83" s="321">
        <f t="shared" si="23"/>
        <v>-763138.66603070649</v>
      </c>
      <c r="AK83" s="321">
        <f t="shared" si="23"/>
        <v>0</v>
      </c>
      <c r="AL83" s="321">
        <f t="shared" si="23"/>
        <v>-7172.7665144351949</v>
      </c>
      <c r="AM83" s="321">
        <f t="shared" si="23"/>
        <v>0</v>
      </c>
      <c r="AN83" s="321">
        <f t="shared" si="23"/>
        <v>-6948248.6467063483</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739</v>
      </c>
      <c r="G85" t="s">
        <v>277</v>
      </c>
      <c r="H85" s="141">
        <f>H68 - H83</f>
        <v>134451979.78234243</v>
      </c>
      <c r="I85" s="322" t="s">
        <v>154</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1137</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927</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1133</v>
      </c>
      <c r="E91"/>
      <c r="I91" t="s">
        <v>154</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1131</v>
      </c>
    </row>
    <row r="92" spans="2:43" x14ac:dyDescent="0.25">
      <c r="C92" s="71"/>
      <c r="D92" s="71" t="s">
        <v>1109</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1017</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984</v>
      </c>
      <c r="G95" s="90" t="s">
        <v>149</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985</v>
      </c>
      <c r="G96" t="s">
        <v>149</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986</v>
      </c>
      <c r="G97" t="s">
        <v>149</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987</v>
      </c>
      <c r="G98" t="s">
        <v>149</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988</v>
      </c>
      <c r="G99" t="s">
        <v>149</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989</v>
      </c>
      <c r="G100" t="s">
        <v>149</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990</v>
      </c>
      <c r="G101" t="s">
        <v>149</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991</v>
      </c>
      <c r="G102" s="91" t="s">
        <v>149</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1006</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984</v>
      </c>
      <c r="G105" s="90" t="s">
        <v>149</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985</v>
      </c>
      <c r="G106" t="s">
        <v>149</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986</v>
      </c>
      <c r="G107" t="s">
        <v>149</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987</v>
      </c>
      <c r="G108" t="s">
        <v>149</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988</v>
      </c>
      <c r="G109" t="s">
        <v>149</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989</v>
      </c>
      <c r="G110" t="s">
        <v>149</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990</v>
      </c>
      <c r="G111" t="s">
        <v>149</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991</v>
      </c>
      <c r="G112" s="91" t="s">
        <v>149</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1007</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984</v>
      </c>
      <c r="G115" s="90" t="s">
        <v>212</v>
      </c>
      <c r="H115" s="90"/>
      <c r="I115" s="90"/>
      <c r="J115" s="330">
        <f t="shared" ref="J115:J122" si="50">SUMIF($J105:$AO105, J105, $J$56:$AO$56)</f>
        <v>1933377.9905270939</v>
      </c>
      <c r="K115" s="325"/>
      <c r="L115" s="325"/>
      <c r="M115" s="330">
        <f t="shared" ref="M115:P122" si="51">SUMIF($J105:$AO105, M105, $J$56:$AO$56)</f>
        <v>45710.425713914199</v>
      </c>
      <c r="N115" s="330">
        <f t="shared" si="51"/>
        <v>37543.945659249985</v>
      </c>
      <c r="O115" s="330">
        <f t="shared" si="51"/>
        <v>21242.534553764388</v>
      </c>
      <c r="P115" s="330">
        <f t="shared" si="51"/>
        <v>22099.690509572371</v>
      </c>
      <c r="Q115" s="325"/>
      <c r="R115" s="325"/>
      <c r="S115" s="330">
        <f t="shared" ref="S115:V122" si="52">SUMIF($J105:$AO105, S105, $J$56:$AO$56)</f>
        <v>4636.7902960220554</v>
      </c>
      <c r="T115" s="330">
        <f t="shared" si="52"/>
        <v>3925.282606386731</v>
      </c>
      <c r="U115" s="330">
        <f t="shared" si="52"/>
        <v>1397.983867009199</v>
      </c>
      <c r="V115" s="330">
        <f t="shared" si="52"/>
        <v>1895.3461221550324</v>
      </c>
      <c r="W115" s="325"/>
      <c r="X115" s="330">
        <f t="shared" ref="X115:AA122" si="53">SUMIF($J105:$AO105, X105, $J$56:$AO$56)</f>
        <v>4636.7902960220554</v>
      </c>
      <c r="Y115" s="330">
        <f t="shared" si="53"/>
        <v>3925.282606386731</v>
      </c>
      <c r="Z115" s="330">
        <f t="shared" si="53"/>
        <v>1397.983867009199</v>
      </c>
      <c r="AA115" s="330">
        <f t="shared" si="53"/>
        <v>1895.3461221550324</v>
      </c>
      <c r="AB115" s="325"/>
      <c r="AC115" s="330">
        <f t="shared" ref="AC115:AG122" si="54">SUMIF($J105:$AO105, AC105, $J$56:$AO$56)</f>
        <v>354.83512211833926</v>
      </c>
      <c r="AD115" s="330">
        <f t="shared" si="54"/>
        <v>405.55674807889284</v>
      </c>
      <c r="AE115" s="330">
        <f t="shared" si="54"/>
        <v>185.31620609204165</v>
      </c>
      <c r="AF115" s="330">
        <f t="shared" si="54"/>
        <v>211.07566410519047</v>
      </c>
      <c r="AG115" s="330">
        <f t="shared" si="54"/>
        <v>4926.735629790157</v>
      </c>
      <c r="AH115" s="325"/>
      <c r="AI115" s="325"/>
      <c r="AJ115" s="325"/>
      <c r="AK115" s="325"/>
      <c r="AL115" s="325"/>
      <c r="AM115" s="325"/>
      <c r="AN115" s="325"/>
      <c r="AO115" s="325"/>
    </row>
    <row r="116" spans="3:41" x14ac:dyDescent="0.25">
      <c r="C116" s="71"/>
      <c r="D116"/>
      <c r="E116"/>
      <c r="F116" t="s">
        <v>985</v>
      </c>
      <c r="G116" t="s">
        <v>212</v>
      </c>
      <c r="J116" s="331">
        <f t="shared" si="50"/>
        <v>1933377.9905270939</v>
      </c>
      <c r="K116" s="327"/>
      <c r="L116" s="327"/>
      <c r="M116" s="331">
        <f t="shared" si="51"/>
        <v>83254.371373164176</v>
      </c>
      <c r="N116" s="331">
        <f t="shared" si="51"/>
        <v>83254.371373164176</v>
      </c>
      <c r="O116" s="331">
        <f t="shared" si="51"/>
        <v>21242.534553764388</v>
      </c>
      <c r="P116" s="331">
        <f t="shared" si="51"/>
        <v>22099.690509572371</v>
      </c>
      <c r="Q116" s="327"/>
      <c r="R116" s="327"/>
      <c r="S116" s="331">
        <f t="shared" si="52"/>
        <v>8562.072902408785</v>
      </c>
      <c r="T116" s="331">
        <f t="shared" si="52"/>
        <v>8562.072902408785</v>
      </c>
      <c r="U116" s="331">
        <f t="shared" si="52"/>
        <v>1397.983867009199</v>
      </c>
      <c r="V116" s="331">
        <f t="shared" si="52"/>
        <v>1895.3461221550324</v>
      </c>
      <c r="W116" s="327"/>
      <c r="X116" s="331">
        <f t="shared" si="53"/>
        <v>8562.072902408785</v>
      </c>
      <c r="Y116" s="331">
        <f t="shared" si="53"/>
        <v>8562.072902408785</v>
      </c>
      <c r="Z116" s="331">
        <f t="shared" si="53"/>
        <v>1397.983867009199</v>
      </c>
      <c r="AA116" s="331">
        <f t="shared" si="53"/>
        <v>1895.3461221550324</v>
      </c>
      <c r="AB116" s="327"/>
      <c r="AC116" s="331">
        <f t="shared" si="54"/>
        <v>760.39187019723204</v>
      </c>
      <c r="AD116" s="331">
        <f t="shared" si="54"/>
        <v>760.39187019723204</v>
      </c>
      <c r="AE116" s="331">
        <f t="shared" si="54"/>
        <v>185.31620609204165</v>
      </c>
      <c r="AF116" s="331">
        <f t="shared" si="54"/>
        <v>211.07566410519047</v>
      </c>
      <c r="AG116" s="331">
        <f t="shared" si="54"/>
        <v>4926.735629790157</v>
      </c>
      <c r="AH116" s="327"/>
      <c r="AI116" s="327"/>
      <c r="AJ116" s="327"/>
      <c r="AK116" s="327"/>
      <c r="AL116" s="327"/>
      <c r="AM116" s="327"/>
      <c r="AN116" s="327"/>
      <c r="AO116" s="327"/>
    </row>
    <row r="117" spans="3:41" x14ac:dyDescent="0.25">
      <c r="C117" s="71"/>
      <c r="D117"/>
      <c r="E117"/>
      <c r="F117" t="s">
        <v>986</v>
      </c>
      <c r="G117" t="s">
        <v>212</v>
      </c>
      <c r="J117" s="331">
        <f t="shared" si="50"/>
        <v>1933377.9905270939</v>
      </c>
      <c r="K117" s="327"/>
      <c r="L117" s="327"/>
      <c r="M117" s="331">
        <f t="shared" si="51"/>
        <v>45710.425713914199</v>
      </c>
      <c r="N117" s="331">
        <f t="shared" si="51"/>
        <v>58786.480213014373</v>
      </c>
      <c r="O117" s="331">
        <f t="shared" si="51"/>
        <v>58786.480213014373</v>
      </c>
      <c r="P117" s="331">
        <f t="shared" si="51"/>
        <v>22099.690509572371</v>
      </c>
      <c r="Q117" s="327"/>
      <c r="R117" s="327"/>
      <c r="S117" s="331">
        <f t="shared" si="52"/>
        <v>4636.7902960220554</v>
      </c>
      <c r="T117" s="331">
        <f t="shared" si="52"/>
        <v>5323.26647339593</v>
      </c>
      <c r="U117" s="331">
        <f t="shared" si="52"/>
        <v>5323.26647339593</v>
      </c>
      <c r="V117" s="331">
        <f t="shared" si="52"/>
        <v>1895.3461221550324</v>
      </c>
      <c r="W117" s="327"/>
      <c r="X117" s="331">
        <f t="shared" si="53"/>
        <v>4636.7902960220554</v>
      </c>
      <c r="Y117" s="331">
        <f t="shared" si="53"/>
        <v>5323.26647339593</v>
      </c>
      <c r="Z117" s="331">
        <f t="shared" si="53"/>
        <v>5323.26647339593</v>
      </c>
      <c r="AA117" s="331">
        <f t="shared" si="53"/>
        <v>1895.3461221550324</v>
      </c>
      <c r="AB117" s="327"/>
      <c r="AC117" s="331">
        <f t="shared" si="54"/>
        <v>354.83512211833926</v>
      </c>
      <c r="AD117" s="331">
        <f t="shared" si="54"/>
        <v>590.87295417093446</v>
      </c>
      <c r="AE117" s="331">
        <f t="shared" si="54"/>
        <v>590.87295417093446</v>
      </c>
      <c r="AF117" s="331">
        <f t="shared" si="54"/>
        <v>211.07566410519047</v>
      </c>
      <c r="AG117" s="331">
        <f t="shared" si="54"/>
        <v>4926.735629790157</v>
      </c>
      <c r="AH117" s="327"/>
      <c r="AI117" s="327"/>
      <c r="AJ117" s="327"/>
      <c r="AK117" s="327"/>
      <c r="AL117" s="327"/>
      <c r="AM117" s="327"/>
      <c r="AN117" s="327"/>
      <c r="AO117" s="327"/>
    </row>
    <row r="118" spans="3:41" x14ac:dyDescent="0.25">
      <c r="C118" s="71"/>
      <c r="D118"/>
      <c r="E118"/>
      <c r="F118" t="s">
        <v>987</v>
      </c>
      <c r="G118" t="s">
        <v>212</v>
      </c>
      <c r="J118" s="331">
        <f t="shared" si="50"/>
        <v>1933377.9905270939</v>
      </c>
      <c r="K118" s="327"/>
      <c r="L118" s="327"/>
      <c r="M118" s="331">
        <f t="shared" si="51"/>
        <v>45710.425713914199</v>
      </c>
      <c r="N118" s="331">
        <f t="shared" si="51"/>
        <v>37543.945659249985</v>
      </c>
      <c r="O118" s="331">
        <f t="shared" si="51"/>
        <v>43342.225063336758</v>
      </c>
      <c r="P118" s="331">
        <f t="shared" si="51"/>
        <v>43342.225063336758</v>
      </c>
      <c r="Q118" s="327"/>
      <c r="R118" s="327"/>
      <c r="S118" s="331">
        <f t="shared" si="52"/>
        <v>4636.7902960220554</v>
      </c>
      <c r="T118" s="331">
        <f t="shared" si="52"/>
        <v>3925.282606386731</v>
      </c>
      <c r="U118" s="331">
        <f t="shared" si="52"/>
        <v>3293.3299891642314</v>
      </c>
      <c r="V118" s="331">
        <f t="shared" si="52"/>
        <v>3293.3299891642314</v>
      </c>
      <c r="W118" s="327"/>
      <c r="X118" s="331">
        <f t="shared" si="53"/>
        <v>4636.7902960220554</v>
      </c>
      <c r="Y118" s="331">
        <f t="shared" si="53"/>
        <v>3925.282606386731</v>
      </c>
      <c r="Z118" s="331">
        <f t="shared" si="53"/>
        <v>3293.3299891642314</v>
      </c>
      <c r="AA118" s="331">
        <f t="shared" si="53"/>
        <v>3293.3299891642314</v>
      </c>
      <c r="AB118" s="327"/>
      <c r="AC118" s="331">
        <f t="shared" si="54"/>
        <v>354.83512211833926</v>
      </c>
      <c r="AD118" s="331">
        <f t="shared" si="54"/>
        <v>405.55674807889284</v>
      </c>
      <c r="AE118" s="331">
        <f t="shared" si="54"/>
        <v>396.39187019723215</v>
      </c>
      <c r="AF118" s="331">
        <f t="shared" si="54"/>
        <v>396.39187019723215</v>
      </c>
      <c r="AG118" s="331">
        <f t="shared" si="54"/>
        <v>4926.735629790157</v>
      </c>
      <c r="AH118" s="327"/>
      <c r="AI118" s="327"/>
      <c r="AJ118" s="327"/>
      <c r="AK118" s="327"/>
      <c r="AL118" s="327"/>
      <c r="AM118" s="327"/>
      <c r="AN118" s="327"/>
      <c r="AO118" s="327"/>
    </row>
    <row r="119" spans="3:41" x14ac:dyDescent="0.25">
      <c r="C119" s="71"/>
      <c r="D119"/>
      <c r="E119"/>
      <c r="F119" t="s">
        <v>988</v>
      </c>
      <c r="G119" t="s">
        <v>212</v>
      </c>
      <c r="J119" s="331">
        <f t="shared" si="50"/>
        <v>1933377.9905270939</v>
      </c>
      <c r="K119" s="327"/>
      <c r="L119" s="327"/>
      <c r="M119" s="331">
        <f t="shared" si="51"/>
        <v>83254.371373164176</v>
      </c>
      <c r="N119" s="331">
        <f t="shared" si="51"/>
        <v>83254.371373164176</v>
      </c>
      <c r="O119" s="331">
        <f t="shared" si="51"/>
        <v>43342.225063336758</v>
      </c>
      <c r="P119" s="331">
        <f t="shared" si="51"/>
        <v>43342.225063336758</v>
      </c>
      <c r="Q119" s="327"/>
      <c r="R119" s="327"/>
      <c r="S119" s="331">
        <f t="shared" si="52"/>
        <v>8562.072902408785</v>
      </c>
      <c r="T119" s="331">
        <f t="shared" si="52"/>
        <v>8562.072902408785</v>
      </c>
      <c r="U119" s="331">
        <f t="shared" si="52"/>
        <v>3293.3299891642314</v>
      </c>
      <c r="V119" s="331">
        <f t="shared" si="52"/>
        <v>3293.3299891642314</v>
      </c>
      <c r="W119" s="327"/>
      <c r="X119" s="331">
        <f t="shared" si="53"/>
        <v>8562.072902408785</v>
      </c>
      <c r="Y119" s="331">
        <f t="shared" si="53"/>
        <v>8562.072902408785</v>
      </c>
      <c r="Z119" s="331">
        <f t="shared" si="53"/>
        <v>3293.3299891642314</v>
      </c>
      <c r="AA119" s="331">
        <f t="shared" si="53"/>
        <v>3293.3299891642314</v>
      </c>
      <c r="AB119" s="327"/>
      <c r="AC119" s="331">
        <f t="shared" si="54"/>
        <v>760.39187019723204</v>
      </c>
      <c r="AD119" s="331">
        <f t="shared" si="54"/>
        <v>760.39187019723204</v>
      </c>
      <c r="AE119" s="331">
        <f t="shared" si="54"/>
        <v>396.39187019723215</v>
      </c>
      <c r="AF119" s="331">
        <f t="shared" si="54"/>
        <v>396.39187019723215</v>
      </c>
      <c r="AG119" s="331">
        <f t="shared" si="54"/>
        <v>4926.735629790157</v>
      </c>
      <c r="AH119" s="327"/>
      <c r="AI119" s="327"/>
      <c r="AJ119" s="327"/>
      <c r="AK119" s="327"/>
      <c r="AL119" s="327"/>
      <c r="AM119" s="327"/>
      <c r="AN119" s="327"/>
      <c r="AO119" s="327"/>
    </row>
    <row r="120" spans="3:41" x14ac:dyDescent="0.25">
      <c r="C120" s="71"/>
      <c r="D120"/>
      <c r="E120"/>
      <c r="F120" t="s">
        <v>989</v>
      </c>
      <c r="G120" t="s">
        <v>212</v>
      </c>
      <c r="J120" s="331">
        <f t="shared" si="50"/>
        <v>1933377.9905270939</v>
      </c>
      <c r="K120" s="327"/>
      <c r="L120" s="327"/>
      <c r="M120" s="331">
        <f t="shared" si="51"/>
        <v>104496.90592692856</v>
      </c>
      <c r="N120" s="331">
        <f t="shared" si="51"/>
        <v>104496.90592692856</v>
      </c>
      <c r="O120" s="331">
        <f t="shared" si="51"/>
        <v>104496.90592692856</v>
      </c>
      <c r="P120" s="331">
        <f t="shared" si="51"/>
        <v>22099.690509572371</v>
      </c>
      <c r="Q120" s="327"/>
      <c r="R120" s="327"/>
      <c r="S120" s="331">
        <f t="shared" si="52"/>
        <v>9960.0567694179845</v>
      </c>
      <c r="T120" s="331">
        <f t="shared" si="52"/>
        <v>9960.0567694179845</v>
      </c>
      <c r="U120" s="331">
        <f t="shared" si="52"/>
        <v>9960.0567694179845</v>
      </c>
      <c r="V120" s="331">
        <f t="shared" si="52"/>
        <v>1895.3461221550324</v>
      </c>
      <c r="W120" s="327"/>
      <c r="X120" s="331">
        <f t="shared" si="53"/>
        <v>9960.0567694179845</v>
      </c>
      <c r="Y120" s="331">
        <f t="shared" si="53"/>
        <v>9960.0567694179845</v>
      </c>
      <c r="Z120" s="331">
        <f t="shared" si="53"/>
        <v>9960.0567694179845</v>
      </c>
      <c r="AA120" s="331">
        <f t="shared" si="53"/>
        <v>1895.3461221550324</v>
      </c>
      <c r="AB120" s="327"/>
      <c r="AC120" s="331">
        <f t="shared" si="54"/>
        <v>945.70807628927366</v>
      </c>
      <c r="AD120" s="331">
        <f t="shared" si="54"/>
        <v>945.70807628927366</v>
      </c>
      <c r="AE120" s="331">
        <f t="shared" si="54"/>
        <v>945.70807628927366</v>
      </c>
      <c r="AF120" s="331">
        <f t="shared" si="54"/>
        <v>211.07566410519047</v>
      </c>
      <c r="AG120" s="331">
        <f t="shared" si="54"/>
        <v>4926.735629790157</v>
      </c>
      <c r="AH120" s="327"/>
      <c r="AI120" s="327"/>
      <c r="AJ120" s="327"/>
      <c r="AK120" s="327"/>
      <c r="AL120" s="327"/>
      <c r="AM120" s="327"/>
      <c r="AN120" s="327"/>
      <c r="AO120" s="327"/>
    </row>
    <row r="121" spans="3:41" x14ac:dyDescent="0.25">
      <c r="C121" s="71"/>
      <c r="D121"/>
      <c r="E121"/>
      <c r="F121" t="s">
        <v>990</v>
      </c>
      <c r="G121" t="s">
        <v>212</v>
      </c>
      <c r="J121" s="331">
        <f t="shared" si="50"/>
        <v>1933377.9905270939</v>
      </c>
      <c r="K121" s="327"/>
      <c r="L121" s="327"/>
      <c r="M121" s="331">
        <f t="shared" si="51"/>
        <v>45710.425713914199</v>
      </c>
      <c r="N121" s="331">
        <f t="shared" si="51"/>
        <v>80886.170722586743</v>
      </c>
      <c r="O121" s="331">
        <f t="shared" si="51"/>
        <v>80886.170722586743</v>
      </c>
      <c r="P121" s="331">
        <f t="shared" si="51"/>
        <v>80886.170722586743</v>
      </c>
      <c r="Q121" s="327"/>
      <c r="R121" s="327"/>
      <c r="S121" s="331">
        <f t="shared" si="52"/>
        <v>4636.7902960220554</v>
      </c>
      <c r="T121" s="331">
        <f t="shared" si="52"/>
        <v>7218.6125955509624</v>
      </c>
      <c r="U121" s="331">
        <f t="shared" si="52"/>
        <v>7218.6125955509624</v>
      </c>
      <c r="V121" s="331">
        <f t="shared" si="52"/>
        <v>7218.6125955509624</v>
      </c>
      <c r="W121" s="327"/>
      <c r="X121" s="331">
        <f t="shared" si="53"/>
        <v>4636.7902960220554</v>
      </c>
      <c r="Y121" s="331">
        <f t="shared" si="53"/>
        <v>7218.6125955509624</v>
      </c>
      <c r="Z121" s="331">
        <f t="shared" si="53"/>
        <v>7218.6125955509624</v>
      </c>
      <c r="AA121" s="331">
        <f t="shared" si="53"/>
        <v>7218.6125955509624</v>
      </c>
      <c r="AB121" s="327"/>
      <c r="AC121" s="331">
        <f t="shared" si="54"/>
        <v>354.83512211833926</v>
      </c>
      <c r="AD121" s="331">
        <f t="shared" si="54"/>
        <v>801.94861827612499</v>
      </c>
      <c r="AE121" s="331">
        <f t="shared" si="54"/>
        <v>801.94861827612499</v>
      </c>
      <c r="AF121" s="331">
        <f t="shared" si="54"/>
        <v>801.94861827612499</v>
      </c>
      <c r="AG121" s="331">
        <f t="shared" si="54"/>
        <v>4926.735629790157</v>
      </c>
      <c r="AH121" s="327"/>
      <c r="AI121" s="327"/>
      <c r="AJ121" s="327"/>
      <c r="AK121" s="327"/>
      <c r="AL121" s="327"/>
      <c r="AM121" s="327"/>
      <c r="AN121" s="327"/>
      <c r="AO121" s="327"/>
    </row>
    <row r="122" spans="3:41" x14ac:dyDescent="0.25">
      <c r="C122" s="71"/>
      <c r="D122"/>
      <c r="E122"/>
      <c r="F122" s="91" t="s">
        <v>991</v>
      </c>
      <c r="G122" s="91" t="s">
        <v>212</v>
      </c>
      <c r="H122" s="91"/>
      <c r="I122" s="91"/>
      <c r="J122" s="332">
        <f t="shared" si="50"/>
        <v>1933377.9905270939</v>
      </c>
      <c r="K122" s="329"/>
      <c r="L122" s="329"/>
      <c r="M122" s="332">
        <f t="shared" si="51"/>
        <v>126596.59643650093</v>
      </c>
      <c r="N122" s="332">
        <f t="shared" si="51"/>
        <v>126596.59643650093</v>
      </c>
      <c r="O122" s="332">
        <f t="shared" si="51"/>
        <v>126596.59643650093</v>
      </c>
      <c r="P122" s="332">
        <f t="shared" si="51"/>
        <v>126596.59643650093</v>
      </c>
      <c r="Q122" s="329"/>
      <c r="R122" s="329"/>
      <c r="S122" s="332">
        <f t="shared" si="52"/>
        <v>11855.402891573018</v>
      </c>
      <c r="T122" s="332">
        <f t="shared" si="52"/>
        <v>11855.402891573018</v>
      </c>
      <c r="U122" s="332">
        <f t="shared" si="52"/>
        <v>11855.402891573018</v>
      </c>
      <c r="V122" s="332">
        <f t="shared" si="52"/>
        <v>11855.402891573018</v>
      </c>
      <c r="W122" s="329"/>
      <c r="X122" s="332">
        <f t="shared" si="53"/>
        <v>11855.402891573018</v>
      </c>
      <c r="Y122" s="332">
        <f t="shared" si="53"/>
        <v>11855.402891573018</v>
      </c>
      <c r="Z122" s="332">
        <f t="shared" si="53"/>
        <v>11855.402891573018</v>
      </c>
      <c r="AA122" s="332">
        <f t="shared" si="53"/>
        <v>11855.402891573018</v>
      </c>
      <c r="AB122" s="329"/>
      <c r="AC122" s="332">
        <f t="shared" si="54"/>
        <v>1156.7837403944641</v>
      </c>
      <c r="AD122" s="332">
        <f t="shared" si="54"/>
        <v>1156.7837403944641</v>
      </c>
      <c r="AE122" s="332">
        <f t="shared" si="54"/>
        <v>1156.7837403944641</v>
      </c>
      <c r="AF122" s="332">
        <f t="shared" si="54"/>
        <v>1156.7837403944641</v>
      </c>
      <c r="AG122" s="332">
        <f t="shared" si="54"/>
        <v>4926.735629790157</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999</v>
      </c>
      <c r="G124" t="s">
        <v>149</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1008</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984</v>
      </c>
      <c r="G127" s="90" t="s">
        <v>904</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985</v>
      </c>
      <c r="G128" t="s">
        <v>904</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986</v>
      </c>
      <c r="G129" t="s">
        <v>904</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987</v>
      </c>
      <c r="G130" t="s">
        <v>904</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988</v>
      </c>
      <c r="G131" t="s">
        <v>904</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989</v>
      </c>
      <c r="G132" t="s">
        <v>904</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990</v>
      </c>
      <c r="G133" t="s">
        <v>904</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991</v>
      </c>
      <c r="G134" s="91" t="s">
        <v>904</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1108</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984</v>
      </c>
      <c r="G137" s="90" t="s">
        <v>149</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985</v>
      </c>
      <c r="G138" t="s">
        <v>149</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986</v>
      </c>
      <c r="G139" t="s">
        <v>149</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987</v>
      </c>
      <c r="G140" t="s">
        <v>149</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988</v>
      </c>
      <c r="G141" t="s">
        <v>149</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989</v>
      </c>
      <c r="G142" t="s">
        <v>149</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990</v>
      </c>
      <c r="G143" t="s">
        <v>149</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991</v>
      </c>
      <c r="G144" s="91" t="s">
        <v>149</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1001</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1000</v>
      </c>
      <c r="G148" t="s">
        <v>149</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1009</v>
      </c>
      <c r="G150" t="s">
        <v>149</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1018</v>
      </c>
      <c r="G154" t="s">
        <v>212</v>
      </c>
      <c r="J154" s="259">
        <f t="shared" ref="J154:AO154" si="98">IF(J32, J56, 0)</f>
        <v>1933377.9905270939</v>
      </c>
      <c r="K154" s="259">
        <f t="shared" si="98"/>
        <v>0</v>
      </c>
      <c r="L154" s="259">
        <f t="shared" si="98"/>
        <v>0</v>
      </c>
      <c r="M154" s="259">
        <f t="shared" si="98"/>
        <v>45710.425713914199</v>
      </c>
      <c r="N154" s="259">
        <f t="shared" si="98"/>
        <v>37543.945659249985</v>
      </c>
      <c r="O154" s="259">
        <f t="shared" si="98"/>
        <v>21242.534553764388</v>
      </c>
      <c r="P154" s="259">
        <f t="shared" si="98"/>
        <v>22099.690509572371</v>
      </c>
      <c r="Q154" s="259">
        <f t="shared" si="98"/>
        <v>0</v>
      </c>
      <c r="R154" s="259">
        <f t="shared" si="98"/>
        <v>0</v>
      </c>
      <c r="S154" s="259">
        <f t="shared" si="98"/>
        <v>4627.7902960220554</v>
      </c>
      <c r="T154" s="259">
        <f t="shared" si="98"/>
        <v>3900.2995661515215</v>
      </c>
      <c r="U154" s="259">
        <f t="shared" si="98"/>
        <v>1355.3228535974627</v>
      </c>
      <c r="V154" s="259">
        <f t="shared" si="98"/>
        <v>1660.2445722738389</v>
      </c>
      <c r="W154" s="259">
        <f t="shared" si="98"/>
        <v>0</v>
      </c>
      <c r="X154" s="259">
        <f t="shared" si="98"/>
        <v>9</v>
      </c>
      <c r="Y154" s="259">
        <f t="shared" si="98"/>
        <v>24.983040235209277</v>
      </c>
      <c r="Z154" s="259">
        <f t="shared" si="98"/>
        <v>42.661013411736427</v>
      </c>
      <c r="AA154" s="259">
        <f t="shared" si="98"/>
        <v>235.10154988119345</v>
      </c>
      <c r="AB154" s="259">
        <f t="shared" si="98"/>
        <v>0</v>
      </c>
      <c r="AC154" s="259">
        <f t="shared" si="98"/>
        <v>354.83512211833926</v>
      </c>
      <c r="AD154" s="259">
        <f t="shared" si="98"/>
        <v>405.55674807889284</v>
      </c>
      <c r="AE154" s="259">
        <f t="shared" si="98"/>
        <v>185.31620609204165</v>
      </c>
      <c r="AF154" s="259">
        <f t="shared" si="98"/>
        <v>211.07566410519047</v>
      </c>
      <c r="AG154" s="259">
        <f t="shared" si="98"/>
        <v>4926.735629790157</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1015</v>
      </c>
      <c r="G156" t="s">
        <v>212</v>
      </c>
      <c r="J156" s="259">
        <f t="shared" ref="J156:AO156" si="99">SUMIF($J$150:$AO$150,J150,$J$154:$AO$154)</f>
        <v>1933377.9905270939</v>
      </c>
      <c r="K156" s="259">
        <f t="shared" si="99"/>
        <v>0</v>
      </c>
      <c r="L156" s="259">
        <f t="shared" si="99"/>
        <v>0</v>
      </c>
      <c r="M156" s="259">
        <f t="shared" si="99"/>
        <v>45710.425713914199</v>
      </c>
      <c r="N156" s="259">
        <f t="shared" si="99"/>
        <v>37543.945659249985</v>
      </c>
      <c r="O156" s="259">
        <f t="shared" si="99"/>
        <v>21242.534553764388</v>
      </c>
      <c r="P156" s="259">
        <f t="shared" si="99"/>
        <v>22099.690509572371</v>
      </c>
      <c r="Q156" s="259">
        <f t="shared" si="99"/>
        <v>0</v>
      </c>
      <c r="R156" s="259">
        <f t="shared" si="99"/>
        <v>0</v>
      </c>
      <c r="S156" s="259">
        <f t="shared" si="99"/>
        <v>4636.7902960220554</v>
      </c>
      <c r="T156" s="259">
        <f t="shared" si="99"/>
        <v>3925.282606386731</v>
      </c>
      <c r="U156" s="259">
        <f t="shared" si="99"/>
        <v>1397.983867009199</v>
      </c>
      <c r="V156" s="259">
        <f t="shared" si="99"/>
        <v>1895.3461221550324</v>
      </c>
      <c r="W156" s="259">
        <f t="shared" si="99"/>
        <v>0</v>
      </c>
      <c r="X156" s="259">
        <f t="shared" si="99"/>
        <v>4636.7902960220554</v>
      </c>
      <c r="Y156" s="259">
        <f t="shared" si="99"/>
        <v>3925.282606386731</v>
      </c>
      <c r="Z156" s="259">
        <f t="shared" si="99"/>
        <v>1397.983867009199</v>
      </c>
      <c r="AA156" s="259">
        <f t="shared" si="99"/>
        <v>1895.3461221550324</v>
      </c>
      <c r="AB156" s="259">
        <f t="shared" si="99"/>
        <v>0</v>
      </c>
      <c r="AC156" s="259">
        <f t="shared" si="99"/>
        <v>354.83512211833926</v>
      </c>
      <c r="AD156" s="259">
        <f t="shared" si="99"/>
        <v>405.55674807889284</v>
      </c>
      <c r="AE156" s="259">
        <f t="shared" si="99"/>
        <v>185.31620609204165</v>
      </c>
      <c r="AF156" s="259">
        <f t="shared" si="99"/>
        <v>211.07566410519047</v>
      </c>
      <c r="AG156" s="259">
        <f t="shared" si="99"/>
        <v>4926.735629790157</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1124</v>
      </c>
      <c r="G158" t="s">
        <v>167</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0.9980590021490251</v>
      </c>
      <c r="T158" s="334">
        <f t="shared" si="100"/>
        <v>0.9936353524725684</v>
      </c>
      <c r="U158" s="334">
        <f t="shared" si="100"/>
        <v>0.9694839014823512</v>
      </c>
      <c r="V158" s="334">
        <f t="shared" si="100"/>
        <v>0.87595851378645284</v>
      </c>
      <c r="W158" s="334">
        <f t="shared" si="100"/>
        <v>0</v>
      </c>
      <c r="X158" s="334">
        <f t="shared" si="100"/>
        <v>1.9409978509748829E-3</v>
      </c>
      <c r="Y158" s="334">
        <f t="shared" si="100"/>
        <v>6.364647527431524E-3</v>
      </c>
      <c r="Z158" s="334">
        <f t="shared" si="100"/>
        <v>3.0516098517648853E-2</v>
      </c>
      <c r="AA158" s="334">
        <f t="shared" si="100"/>
        <v>0.12404148621354712</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1134</v>
      </c>
      <c r="I162" t="s">
        <v>154</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1129</v>
      </c>
    </row>
    <row r="163" spans="3:43" x14ac:dyDescent="0.25">
      <c r="C163" s="71"/>
      <c r="D163" s="71" t="s">
        <v>1110</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1010</v>
      </c>
      <c r="G165" t="s">
        <v>207</v>
      </c>
      <c r="J165" s="259">
        <f t="shared" ref="J165:AO165" si="101">SUM(J53:J55)</f>
        <v>5693320.2845289437</v>
      </c>
      <c r="K165" s="259">
        <f t="shared" si="101"/>
        <v>180343.88003100082</v>
      </c>
      <c r="L165" s="259">
        <f t="shared" si="101"/>
        <v>181.15586424572234</v>
      </c>
      <c r="M165" s="259">
        <f t="shared" si="101"/>
        <v>175108.32517311996</v>
      </c>
      <c r="N165" s="259">
        <f t="shared" si="101"/>
        <v>307950.66527908272</v>
      </c>
      <c r="O165" s="259">
        <f t="shared" si="101"/>
        <v>377112.79665790225</v>
      </c>
      <c r="P165" s="259">
        <f t="shared" si="101"/>
        <v>1147664.3727686694</v>
      </c>
      <c r="Q165" s="259">
        <f t="shared" si="101"/>
        <v>41561.258000000002</v>
      </c>
      <c r="R165" s="259">
        <f t="shared" si="101"/>
        <v>120.20455506891051</v>
      </c>
      <c r="S165" s="259">
        <f t="shared" si="101"/>
        <v>479893.21912476607</v>
      </c>
      <c r="T165" s="259">
        <f t="shared" si="101"/>
        <v>695189.8100876786</v>
      </c>
      <c r="U165" s="259">
        <f t="shared" si="101"/>
        <v>406125.44982811587</v>
      </c>
      <c r="V165" s="259">
        <f t="shared" si="101"/>
        <v>974485.64731419377</v>
      </c>
      <c r="W165" s="259">
        <f t="shared" si="101"/>
        <v>1.4727564762615875</v>
      </c>
      <c r="X165" s="259">
        <f t="shared" si="101"/>
        <v>1296.5305306148807</v>
      </c>
      <c r="Y165" s="259">
        <f t="shared" si="101"/>
        <v>6898.7008564216485</v>
      </c>
      <c r="Z165" s="259">
        <f t="shared" si="101"/>
        <v>21529.911772562751</v>
      </c>
      <c r="AA165" s="259">
        <f t="shared" si="101"/>
        <v>250785.98748377862</v>
      </c>
      <c r="AB165" s="259">
        <f t="shared" si="101"/>
        <v>5771.1017318739177</v>
      </c>
      <c r="AC165" s="259">
        <f t="shared" si="101"/>
        <v>184913.45988424751</v>
      </c>
      <c r="AD165" s="259">
        <f t="shared" si="101"/>
        <v>670067.02221113793</v>
      </c>
      <c r="AE165" s="259">
        <f t="shared" si="101"/>
        <v>597051.65761312633</v>
      </c>
      <c r="AF165" s="259">
        <f t="shared" si="101"/>
        <v>1829597.6192803974</v>
      </c>
      <c r="AG165" s="259">
        <f t="shared" si="101"/>
        <v>210901.17122097785</v>
      </c>
      <c r="AH165" s="259">
        <f t="shared" si="101"/>
        <v>122800.53766234442</v>
      </c>
      <c r="AI165" s="259">
        <f t="shared" si="101"/>
        <v>480.97020050039418</v>
      </c>
      <c r="AJ165" s="259">
        <f t="shared" si="101"/>
        <v>62870.451000000008</v>
      </c>
      <c r="AK165" s="259">
        <f t="shared" si="101"/>
        <v>0</v>
      </c>
      <c r="AL165" s="259">
        <f t="shared" si="101"/>
        <v>701.11299999999994</v>
      </c>
      <c r="AM165" s="259">
        <f t="shared" si="101"/>
        <v>0</v>
      </c>
      <c r="AN165" s="259">
        <f t="shared" si="101"/>
        <v>1028767.572</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1011</v>
      </c>
      <c r="G167" t="s">
        <v>207</v>
      </c>
      <c r="J167" s="259">
        <f t="shared" ref="J167:AO167" si="102">IF(J32,J165, 0)</f>
        <v>5693320.2845289437</v>
      </c>
      <c r="K167" s="259">
        <f t="shared" si="102"/>
        <v>0</v>
      </c>
      <c r="L167" s="259">
        <f t="shared" si="102"/>
        <v>0</v>
      </c>
      <c r="M167" s="259">
        <f t="shared" si="102"/>
        <v>175108.32517311996</v>
      </c>
      <c r="N167" s="259">
        <f t="shared" si="102"/>
        <v>307950.66527908272</v>
      </c>
      <c r="O167" s="259">
        <f t="shared" si="102"/>
        <v>377112.79665790225</v>
      </c>
      <c r="P167" s="259">
        <f t="shared" si="102"/>
        <v>1147664.3727686694</v>
      </c>
      <c r="Q167" s="259">
        <f t="shared" si="102"/>
        <v>0</v>
      </c>
      <c r="R167" s="259">
        <f t="shared" si="102"/>
        <v>0</v>
      </c>
      <c r="S167" s="259">
        <f t="shared" si="102"/>
        <v>479893.21912476607</v>
      </c>
      <c r="T167" s="259">
        <f t="shared" si="102"/>
        <v>695189.8100876786</v>
      </c>
      <c r="U167" s="259">
        <f t="shared" si="102"/>
        <v>406125.44982811587</v>
      </c>
      <c r="V167" s="259">
        <f t="shared" si="102"/>
        <v>974485.64731419377</v>
      </c>
      <c r="W167" s="259">
        <f t="shared" si="102"/>
        <v>0</v>
      </c>
      <c r="X167" s="259">
        <f t="shared" si="102"/>
        <v>1296.5305306148807</v>
      </c>
      <c r="Y167" s="259">
        <f t="shared" si="102"/>
        <v>6898.7008564216485</v>
      </c>
      <c r="Z167" s="259">
        <f t="shared" si="102"/>
        <v>21529.911772562751</v>
      </c>
      <c r="AA167" s="259">
        <f t="shared" si="102"/>
        <v>250785.98748377862</v>
      </c>
      <c r="AB167" s="259">
        <f t="shared" si="102"/>
        <v>0</v>
      </c>
      <c r="AC167" s="259">
        <f t="shared" si="102"/>
        <v>184913.45988424751</v>
      </c>
      <c r="AD167" s="259">
        <f t="shared" si="102"/>
        <v>670067.02221113793</v>
      </c>
      <c r="AE167" s="259">
        <f t="shared" si="102"/>
        <v>597051.65761312633</v>
      </c>
      <c r="AF167" s="259">
        <f t="shared" si="102"/>
        <v>1829597.6192803974</v>
      </c>
      <c r="AG167" s="259">
        <f t="shared" si="102"/>
        <v>210901.17122097785</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1020</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1005</v>
      </c>
      <c r="G171" t="s">
        <v>167</v>
      </c>
      <c r="J171" s="13">
        <v>1</v>
      </c>
      <c r="K171" s="95"/>
      <c r="L171" s="114"/>
      <c r="M171" s="335">
        <f>'Volume adjustments'!K689</f>
        <v>8.6754374311875548E-2</v>
      </c>
      <c r="N171" s="335">
        <f>'Volume adjustments'!L689</f>
        <v>0.15297665329337079</v>
      </c>
      <c r="O171" s="335">
        <f>'Volume adjustments'!M689</f>
        <v>0.18755462380973875</v>
      </c>
      <c r="P171" s="335">
        <f>'Volume adjustments'!N689</f>
        <v>0.57271434858501491</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981</v>
      </c>
      <c r="G173" t="s">
        <v>207</v>
      </c>
      <c r="J173" s="259">
        <f>J171*$K165</f>
        <v>180343.88003100082</v>
      </c>
      <c r="K173" s="114"/>
      <c r="L173" s="114"/>
      <c r="M173" s="259">
        <f>M171*$Q165</f>
        <v>3605.6209334044324</v>
      </c>
      <c r="N173" s="259">
        <f>N171*$Q165</f>
        <v>6357.9021555023337</v>
      </c>
      <c r="O173" s="259">
        <f>O171*$Q165</f>
        <v>7795.0061092494952</v>
      </c>
      <c r="P173" s="259">
        <f>P171*$Q165</f>
        <v>23802.728801843739</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1012</v>
      </c>
      <c r="G175" t="s">
        <v>207</v>
      </c>
      <c r="J175" s="259">
        <f t="shared" ref="J175:AO175" si="103">J167+J173</f>
        <v>5873664.1645599445</v>
      </c>
      <c r="K175" s="259">
        <f t="shared" si="103"/>
        <v>0</v>
      </c>
      <c r="L175" s="259">
        <f t="shared" si="103"/>
        <v>0</v>
      </c>
      <c r="M175" s="259">
        <f t="shared" si="103"/>
        <v>178713.94610652438</v>
      </c>
      <c r="N175" s="259">
        <f t="shared" si="103"/>
        <v>314308.56743458507</v>
      </c>
      <c r="O175" s="259">
        <f t="shared" si="103"/>
        <v>384907.80276715173</v>
      </c>
      <c r="P175" s="259">
        <f t="shared" si="103"/>
        <v>1171467.1015705131</v>
      </c>
      <c r="Q175" s="259">
        <f t="shared" si="103"/>
        <v>0</v>
      </c>
      <c r="R175" s="259">
        <f t="shared" si="103"/>
        <v>0</v>
      </c>
      <c r="S175" s="259">
        <f t="shared" si="103"/>
        <v>479893.21912476607</v>
      </c>
      <c r="T175" s="259">
        <f t="shared" si="103"/>
        <v>695189.8100876786</v>
      </c>
      <c r="U175" s="259">
        <f t="shared" si="103"/>
        <v>406125.44982811587</v>
      </c>
      <c r="V175" s="259">
        <f t="shared" si="103"/>
        <v>974485.64731419377</v>
      </c>
      <c r="W175" s="259">
        <f t="shared" si="103"/>
        <v>0</v>
      </c>
      <c r="X175" s="259">
        <f t="shared" si="103"/>
        <v>1296.5305306148807</v>
      </c>
      <c r="Y175" s="259">
        <f t="shared" si="103"/>
        <v>6898.7008564216485</v>
      </c>
      <c r="Z175" s="259">
        <f t="shared" si="103"/>
        <v>21529.911772562751</v>
      </c>
      <c r="AA175" s="259">
        <f t="shared" si="103"/>
        <v>250785.98748377862</v>
      </c>
      <c r="AB175" s="259">
        <f t="shared" si="103"/>
        <v>0</v>
      </c>
      <c r="AC175" s="259">
        <f t="shared" si="103"/>
        <v>184913.45988424751</v>
      </c>
      <c r="AD175" s="259">
        <f t="shared" si="103"/>
        <v>670067.02221113793</v>
      </c>
      <c r="AE175" s="259">
        <f t="shared" si="103"/>
        <v>597051.65761312633</v>
      </c>
      <c r="AF175" s="259">
        <f t="shared" si="103"/>
        <v>1829597.6192803974</v>
      </c>
      <c r="AG175" s="259">
        <f t="shared" si="103"/>
        <v>210901.17122097785</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1111</v>
      </c>
      <c r="I179" t="s">
        <v>154</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1129</v>
      </c>
    </row>
    <row r="180" spans="3:43" x14ac:dyDescent="0.25">
      <c r="C180" s="71"/>
      <c r="D180" s="71" t="s">
        <v>1112</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1113</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1014</v>
      </c>
      <c r="G183" t="s">
        <v>207</v>
      </c>
      <c r="J183" s="259">
        <f t="shared" ref="J183:AO183" si="104">SUMIF($J$150:$AO$150,J150,$J$175:$AO$175)</f>
        <v>5873664.1645599445</v>
      </c>
      <c r="K183" s="259">
        <f t="shared" si="104"/>
        <v>0</v>
      </c>
      <c r="L183" s="259">
        <f t="shared" si="104"/>
        <v>0</v>
      </c>
      <c r="M183" s="259">
        <f t="shared" si="104"/>
        <v>178713.94610652438</v>
      </c>
      <c r="N183" s="259">
        <f t="shared" si="104"/>
        <v>314308.56743458507</v>
      </c>
      <c r="O183" s="259">
        <f t="shared" si="104"/>
        <v>384907.80276715173</v>
      </c>
      <c r="P183" s="259">
        <f t="shared" si="104"/>
        <v>1171467.1015705131</v>
      </c>
      <c r="Q183" s="259">
        <f t="shared" si="104"/>
        <v>0</v>
      </c>
      <c r="R183" s="259">
        <f t="shared" si="104"/>
        <v>0</v>
      </c>
      <c r="S183" s="259">
        <f t="shared" si="104"/>
        <v>481189.74965538096</v>
      </c>
      <c r="T183" s="259">
        <f t="shared" si="104"/>
        <v>702088.51094410021</v>
      </c>
      <c r="U183" s="259">
        <f t="shared" si="104"/>
        <v>427655.36160067865</v>
      </c>
      <c r="V183" s="259">
        <f t="shared" si="104"/>
        <v>1225271.6347979724</v>
      </c>
      <c r="W183" s="259">
        <f t="shared" si="104"/>
        <v>0</v>
      </c>
      <c r="X183" s="259">
        <f t="shared" si="104"/>
        <v>481189.74965538096</v>
      </c>
      <c r="Y183" s="259">
        <f t="shared" si="104"/>
        <v>702088.51094410021</v>
      </c>
      <c r="Z183" s="259">
        <f t="shared" si="104"/>
        <v>427655.36160067865</v>
      </c>
      <c r="AA183" s="259">
        <f t="shared" si="104"/>
        <v>1225271.6347979724</v>
      </c>
      <c r="AB183" s="259">
        <f t="shared" si="104"/>
        <v>0</v>
      </c>
      <c r="AC183" s="259">
        <f t="shared" si="104"/>
        <v>184913.45988424751</v>
      </c>
      <c r="AD183" s="259">
        <f t="shared" si="104"/>
        <v>670067.02221113793</v>
      </c>
      <c r="AE183" s="259">
        <f t="shared" si="104"/>
        <v>597051.65761312633</v>
      </c>
      <c r="AF183" s="259">
        <f t="shared" si="104"/>
        <v>1829597.6192803974</v>
      </c>
      <c r="AG183" s="259">
        <f t="shared" si="104"/>
        <v>210901.17122097785</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1016</v>
      </c>
      <c r="G185" t="s">
        <v>207</v>
      </c>
      <c r="J185" s="259">
        <f>J158*J183</f>
        <v>5873664.1645599445</v>
      </c>
      <c r="K185" s="259">
        <f t="shared" ref="K185:AO185" si="105">K158*K183</f>
        <v>0</v>
      </c>
      <c r="L185" s="259">
        <f t="shared" si="105"/>
        <v>0</v>
      </c>
      <c r="M185" s="259">
        <f t="shared" si="105"/>
        <v>178713.94610652438</v>
      </c>
      <c r="N185" s="259">
        <f t="shared" si="105"/>
        <v>314308.56743458507</v>
      </c>
      <c r="O185" s="259">
        <f t="shared" si="105"/>
        <v>384907.80276715173</v>
      </c>
      <c r="P185" s="259">
        <f t="shared" si="105"/>
        <v>1171467.1015705131</v>
      </c>
      <c r="Q185" s="259">
        <f t="shared" si="105"/>
        <v>0</v>
      </c>
      <c r="R185" s="259">
        <f t="shared" si="105"/>
        <v>0</v>
      </c>
      <c r="S185" s="259">
        <f t="shared" si="105"/>
        <v>480255.76138538873</v>
      </c>
      <c r="T185" s="259">
        <f t="shared" si="105"/>
        <v>697619.96503888175</v>
      </c>
      <c r="U185" s="259">
        <f t="shared" si="105"/>
        <v>414604.98845447163</v>
      </c>
      <c r="V185" s="259">
        <f t="shared" si="105"/>
        <v>1073287.1202023292</v>
      </c>
      <c r="W185" s="259">
        <f t="shared" si="105"/>
        <v>0</v>
      </c>
      <c r="X185" s="259">
        <f t="shared" si="105"/>
        <v>933.98826999223638</v>
      </c>
      <c r="Y185" s="259">
        <f t="shared" si="105"/>
        <v>4468.5459052184478</v>
      </c>
      <c r="Z185" s="259">
        <f t="shared" si="105"/>
        <v>13050.373146207054</v>
      </c>
      <c r="AA185" s="259">
        <f t="shared" si="105"/>
        <v>151984.51459564304</v>
      </c>
      <c r="AB185" s="259">
        <f t="shared" si="105"/>
        <v>0</v>
      </c>
      <c r="AC185" s="259">
        <f t="shared" si="105"/>
        <v>184913.45988424751</v>
      </c>
      <c r="AD185" s="259">
        <f t="shared" si="105"/>
        <v>670067.02221113793</v>
      </c>
      <c r="AE185" s="259">
        <f t="shared" si="105"/>
        <v>597051.65761312633</v>
      </c>
      <c r="AF185" s="259">
        <f t="shared" si="105"/>
        <v>1829597.6192803974</v>
      </c>
      <c r="AG185" s="259">
        <f t="shared" si="105"/>
        <v>210901.17122097785</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453</v>
      </c>
      <c r="G187" t="s">
        <v>207</v>
      </c>
      <c r="H187" s="259">
        <f>SUM($J$185:$AO$185)</f>
        <v>14251797.769646738</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1028</v>
      </c>
      <c r="G189" t="s">
        <v>167</v>
      </c>
      <c r="J189" s="336">
        <f>J185/$H187</f>
        <v>0.41213496426882967</v>
      </c>
      <c r="K189" s="336">
        <f t="shared" ref="K189:AO189" si="106">K185/$H187</f>
        <v>0</v>
      </c>
      <c r="L189" s="336">
        <f t="shared" si="106"/>
        <v>0</v>
      </c>
      <c r="M189" s="336">
        <f t="shared" si="106"/>
        <v>1.2539747545895341E-2</v>
      </c>
      <c r="N189" s="336">
        <f t="shared" si="106"/>
        <v>2.2053959262879431E-2</v>
      </c>
      <c r="O189" s="336">
        <f t="shared" si="106"/>
        <v>2.7007666610799272E-2</v>
      </c>
      <c r="P189" s="336">
        <f t="shared" si="106"/>
        <v>8.2197847633334084E-2</v>
      </c>
      <c r="Q189" s="336">
        <f t="shared" si="106"/>
        <v>0</v>
      </c>
      <c r="R189" s="336">
        <f t="shared" si="106"/>
        <v>0</v>
      </c>
      <c r="S189" s="336">
        <f t="shared" si="106"/>
        <v>3.3697907390198178E-2</v>
      </c>
      <c r="T189" s="336">
        <f t="shared" si="106"/>
        <v>4.8949611572840453E-2</v>
      </c>
      <c r="U189" s="336">
        <f t="shared" si="106"/>
        <v>2.909141675708387E-2</v>
      </c>
      <c r="V189" s="336">
        <f t="shared" si="106"/>
        <v>7.5308893484876682E-2</v>
      </c>
      <c r="W189" s="336">
        <f t="shared" si="106"/>
        <v>0</v>
      </c>
      <c r="X189" s="336">
        <f t="shared" si="106"/>
        <v>6.5534768671881557E-5</v>
      </c>
      <c r="Y189" s="336">
        <f t="shared" si="106"/>
        <v>3.1354261247907184E-4</v>
      </c>
      <c r="Z189" s="336">
        <f t="shared" si="106"/>
        <v>9.1570013531917641E-4</v>
      </c>
      <c r="AA189" s="336">
        <f t="shared" si="106"/>
        <v>1.0664234579537562E-2</v>
      </c>
      <c r="AB189" s="336">
        <f t="shared" si="106"/>
        <v>0</v>
      </c>
      <c r="AC189" s="336">
        <f t="shared" si="106"/>
        <v>1.2974746265209669E-2</v>
      </c>
      <c r="AD189" s="336">
        <f t="shared" si="106"/>
        <v>4.70163156284912E-2</v>
      </c>
      <c r="AE189" s="336">
        <f t="shared" si="106"/>
        <v>4.1893076737639222E-2</v>
      </c>
      <c r="AF189" s="336">
        <f t="shared" si="106"/>
        <v>0.12837661948705492</v>
      </c>
      <c r="AG189" s="336">
        <f t="shared" si="106"/>
        <v>1.4798215258860322E-2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923</v>
      </c>
      <c r="G191" t="s">
        <v>277</v>
      </c>
      <c r="J191" s="259">
        <f>$H$85 * J189</f>
        <v>55412361.883469112</v>
      </c>
      <c r="K191" s="259">
        <f t="shared" ref="K191:AO191" si="107">$H$85 * K189</f>
        <v>0</v>
      </c>
      <c r="L191" s="259">
        <f t="shared" si="107"/>
        <v>0</v>
      </c>
      <c r="M191" s="259">
        <f t="shared" si="107"/>
        <v>1685993.8835163985</v>
      </c>
      <c r="N191" s="259">
        <f t="shared" si="107"/>
        <v>2965198.4849332687</v>
      </c>
      <c r="O191" s="259">
        <f t="shared" si="107"/>
        <v>3631234.2451234283</v>
      </c>
      <c r="P191" s="259">
        <f t="shared" si="107"/>
        <v>11051663.348149098</v>
      </c>
      <c r="Q191" s="259">
        <f t="shared" si="107"/>
        <v>0</v>
      </c>
      <c r="R191" s="259">
        <f t="shared" si="107"/>
        <v>0</v>
      </c>
      <c r="S191" s="259">
        <f t="shared" si="107"/>
        <v>4530750.3631341727</v>
      </c>
      <c r="T191" s="259">
        <f t="shared" si="107"/>
        <v>6581372.1855450599</v>
      </c>
      <c r="U191" s="259">
        <f t="shared" si="107"/>
        <v>3911398.5776631385</v>
      </c>
      <c r="V191" s="259">
        <f t="shared" si="107"/>
        <v>10125429.82425922</v>
      </c>
      <c r="W191" s="259">
        <f t="shared" si="107"/>
        <v>0</v>
      </c>
      <c r="X191" s="259">
        <f t="shared" si="107"/>
        <v>8811.2793925123078</v>
      </c>
      <c r="Y191" s="259">
        <f t="shared" si="107"/>
        <v>42156.424993938999</v>
      </c>
      <c r="Z191" s="259">
        <f t="shared" si="107"/>
        <v>123117.69608062213</v>
      </c>
      <c r="AA191" s="259">
        <f t="shared" si="107"/>
        <v>1433827.4520821413</v>
      </c>
      <c r="AB191" s="259">
        <f t="shared" si="107"/>
        <v>0</v>
      </c>
      <c r="AC191" s="259">
        <f t="shared" si="107"/>
        <v>1744480.3225309935</v>
      </c>
      <c r="AD191" s="259">
        <f t="shared" si="107"/>
        <v>6321436.718322129</v>
      </c>
      <c r="AE191" s="259">
        <f t="shared" si="107"/>
        <v>5632607.1065491885</v>
      </c>
      <c r="AF191" s="259">
        <f t="shared" si="107"/>
        <v>17260490.647798978</v>
      </c>
      <c r="AG191" s="259">
        <f t="shared" si="107"/>
        <v>1989649.3387990394</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1026</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924</v>
      </c>
      <c r="G197" t="s">
        <v>1125</v>
      </c>
      <c r="I197" t="s">
        <v>154</v>
      </c>
      <c r="J197" s="259">
        <f t="shared" ref="J197:AO197" si="108">IF(J33, J191/J154, 0)</f>
        <v>28.660904466157767</v>
      </c>
      <c r="K197" s="259">
        <f t="shared" si="108"/>
        <v>0</v>
      </c>
      <c r="L197" s="259">
        <f t="shared" si="108"/>
        <v>0</v>
      </c>
      <c r="M197" s="259">
        <f t="shared" si="108"/>
        <v>36.884230614443481</v>
      </c>
      <c r="N197" s="259">
        <f t="shared" si="108"/>
        <v>78.97940487783309</v>
      </c>
      <c r="O197" s="259">
        <f t="shared" si="108"/>
        <v>170.94166592658019</v>
      </c>
      <c r="P197" s="259">
        <f t="shared" si="108"/>
        <v>500.0822678200912</v>
      </c>
      <c r="Q197" s="259">
        <f t="shared" si="108"/>
        <v>0</v>
      </c>
      <c r="R197" s="259">
        <f t="shared" si="108"/>
        <v>0</v>
      </c>
      <c r="S197" s="259">
        <f t="shared" si="108"/>
        <v>979.03104361247824</v>
      </c>
      <c r="T197" s="259">
        <f t="shared" si="108"/>
        <v>1687.4017172068116</v>
      </c>
      <c r="U197" s="259">
        <f t="shared" si="108"/>
        <v>2885.9533854099996</v>
      </c>
      <c r="V197" s="259">
        <f t="shared" si="108"/>
        <v>6098.7579741890841</v>
      </c>
      <c r="W197" s="259">
        <f t="shared" si="108"/>
        <v>0</v>
      </c>
      <c r="X197" s="259">
        <f t="shared" si="108"/>
        <v>979.0310436124787</v>
      </c>
      <c r="Y197" s="259">
        <f t="shared" si="108"/>
        <v>1687.4017172068116</v>
      </c>
      <c r="Z197" s="259">
        <f t="shared" si="108"/>
        <v>2885.9533854099996</v>
      </c>
      <c r="AA197" s="259">
        <f t="shared" si="108"/>
        <v>6098.7579741890841</v>
      </c>
      <c r="AB197" s="259">
        <f t="shared" si="108"/>
        <v>0</v>
      </c>
      <c r="AC197" s="259">
        <f t="shared" si="108"/>
        <v>4916.3124329873999</v>
      </c>
      <c r="AD197" s="259">
        <f t="shared" si="108"/>
        <v>15587.058403704385</v>
      </c>
      <c r="AE197" s="259">
        <f t="shared" si="108"/>
        <v>30394.573822386705</v>
      </c>
      <c r="AF197" s="259">
        <f t="shared" si="108"/>
        <v>81773.949265876232</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1138</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924</v>
      </c>
      <c r="G199" t="s">
        <v>270</v>
      </c>
      <c r="I199" t="s">
        <v>154</v>
      </c>
      <c r="J199" s="259">
        <f t="shared" ref="J199:AO199" si="109">J197 * hundred / days_in_year</f>
        <v>7.8523025934678818</v>
      </c>
      <c r="K199" s="259">
        <f t="shared" si="109"/>
        <v>0</v>
      </c>
      <c r="L199" s="259">
        <f t="shared" si="109"/>
        <v>0</v>
      </c>
      <c r="M199" s="259">
        <f t="shared" si="109"/>
        <v>10.105268661491365</v>
      </c>
      <c r="N199" s="259">
        <f t="shared" si="109"/>
        <v>21.638193117214545</v>
      </c>
      <c r="O199" s="259">
        <f t="shared" si="109"/>
        <v>46.833333130569912</v>
      </c>
      <c r="P199" s="259">
        <f t="shared" si="109"/>
        <v>137.00884049865513</v>
      </c>
      <c r="Q199" s="259">
        <f t="shared" si="109"/>
        <v>0</v>
      </c>
      <c r="R199" s="259">
        <f t="shared" si="109"/>
        <v>0</v>
      </c>
      <c r="S199" s="259">
        <f t="shared" si="109"/>
        <v>268.22768318150088</v>
      </c>
      <c r="T199" s="259">
        <f t="shared" si="109"/>
        <v>462.3018403306333</v>
      </c>
      <c r="U199" s="259">
        <f t="shared" si="109"/>
        <v>790.67216038630136</v>
      </c>
      <c r="V199" s="259">
        <f t="shared" si="109"/>
        <v>1670.8925956682424</v>
      </c>
      <c r="W199" s="259">
        <f t="shared" si="109"/>
        <v>0</v>
      </c>
      <c r="X199" s="259">
        <f t="shared" si="109"/>
        <v>268.22768318150099</v>
      </c>
      <c r="Y199" s="259">
        <f t="shared" si="109"/>
        <v>462.3018403306333</v>
      </c>
      <c r="Z199" s="259">
        <f t="shared" si="109"/>
        <v>790.67216038630136</v>
      </c>
      <c r="AA199" s="259">
        <f t="shared" si="109"/>
        <v>1670.8925956682424</v>
      </c>
      <c r="AB199" s="259">
        <f t="shared" si="109"/>
        <v>0</v>
      </c>
      <c r="AC199" s="259">
        <f t="shared" si="109"/>
        <v>1346.9349131472329</v>
      </c>
      <c r="AD199" s="259">
        <f t="shared" si="109"/>
        <v>4270.4269599190093</v>
      </c>
      <c r="AE199" s="259">
        <f t="shared" si="109"/>
        <v>8327.2804992840283</v>
      </c>
      <c r="AF199" s="259">
        <f t="shared" si="109"/>
        <v>22403.82171667842</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1139</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1022</v>
      </c>
      <c r="E203"/>
      <c r="I203" t="s">
        <v>154</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1130</v>
      </c>
    </row>
    <row r="204" spans="3:43" x14ac:dyDescent="0.25">
      <c r="C204" s="71"/>
      <c r="D204" s="71" t="s">
        <v>1023</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925</v>
      </c>
      <c r="G206" t="s">
        <v>926</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9.4340364602068814</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925</v>
      </c>
      <c r="G208" t="s">
        <v>269</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0.94340364602068816</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1029</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1030</v>
      </c>
      <c r="I212" t="s">
        <v>154</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1114</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1031</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1032</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1033</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1135</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1034</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1035</v>
      </c>
      <c r="G223" t="s">
        <v>270</v>
      </c>
      <c r="J223" s="259">
        <f t="array" ref="J223">MIN(IF($J150:$AO150=J150,$J43:$AO43+$J48:$AO48))</f>
        <v>6.9764004263407688</v>
      </c>
      <c r="K223" s="259">
        <f t="array" ref="K223">MIN(IF($J150:$AO150=K150,$J43:$AO43+$J48:$AO48))</f>
        <v>0</v>
      </c>
      <c r="L223" s="259">
        <f t="array" ref="L223">MIN(IF($J150:$AO150=L150,$J43:$AO43+$J48:$AO48))</f>
        <v>0</v>
      </c>
      <c r="M223" s="259">
        <f t="array" ref="M223">MIN(IF($J150:$AO150=M150,$J43:$AO43+$J48:$AO48))</f>
        <v>8.4422369539457431</v>
      </c>
      <c r="N223" s="259">
        <f t="array" ref="N223">MIN(IF($J150:$AO150=N150,$J43:$AO43+$J48:$AO48))</f>
        <v>8.4422369539457431</v>
      </c>
      <c r="O223" s="259">
        <f t="array" ref="O223">MIN(IF($J150:$AO150=O150,$J43:$AO43+$J48:$AO48))</f>
        <v>8.4422369539457431</v>
      </c>
      <c r="P223" s="259">
        <f t="array" ref="P223">MIN(IF($J150:$AO150=P150,$J43:$AO43+$J48:$AO48))</f>
        <v>8.4422369539457431</v>
      </c>
      <c r="Q223" s="259">
        <f t="array" ref="Q223">MIN(IF($J150:$AO150=Q150,$J43:$AO43+$J48:$AO48))</f>
        <v>0</v>
      </c>
      <c r="R223" s="259">
        <f t="array" ref="R223">MIN(IF($J150:$AO150=R150,$J43:$AO43+$J48:$AO48))</f>
        <v>0</v>
      </c>
      <c r="S223" s="259">
        <f t="array" ref="S223">MIN(IF($J150:$AO150=S150,$J43:$AO43+$J48:$AO48))</f>
        <v>9.9532392307775286</v>
      </c>
      <c r="T223" s="259">
        <f t="array" ref="T223">MIN(IF($J150:$AO150=T150,$J43:$AO43+$J48:$AO48))</f>
        <v>9.9532392307775286</v>
      </c>
      <c r="U223" s="259">
        <f t="array" ref="U223">MIN(IF($J150:$AO150=U150,$J43:$AO43+$J48:$AO48))</f>
        <v>9.9532392307775286</v>
      </c>
      <c r="V223" s="259">
        <f t="array" ref="V223">MIN(IF($J150:$AO150=V150,$J43:$AO43+$J48:$AO48))</f>
        <v>9.9532392307775286</v>
      </c>
      <c r="W223" s="259">
        <f t="array" ref="W223">MIN(IF($J150:$AO150=W150,$J43:$AO43+$J48:$AO48))</f>
        <v>0</v>
      </c>
      <c r="X223" s="259">
        <f t="array" ref="X223">MIN(IF($J150:$AO150=X150,$J43:$AO43+$J48:$AO48))</f>
        <v>9.9532392307775286</v>
      </c>
      <c r="Y223" s="259">
        <f t="array" ref="Y223">MIN(IF($J150:$AO150=Y150,$J43:$AO43+$J48:$AO48))</f>
        <v>9.9532392307775286</v>
      </c>
      <c r="Z223" s="259">
        <f t="array" ref="Z223">MIN(IF($J150:$AO150=Z150,$J43:$AO43+$J48:$AO48))</f>
        <v>9.9532392307775286</v>
      </c>
      <c r="AA223" s="259">
        <f t="array" ref="AA223">MIN(IF($J150:$AO150=AA150,$J43:$AO43+$J48:$AO48))</f>
        <v>9.9532392307775286</v>
      </c>
      <c r="AB223" s="259">
        <f t="array" ref="AB223">MIN(IF($J150:$AO150=AB150,$J43:$AO43+$J48:$AO48))</f>
        <v>0</v>
      </c>
      <c r="AC223" s="259">
        <f t="array" ref="AC223">MIN(IF($J150:$AO150=AC150,$J43:$AO43+$J48:$AO48))</f>
        <v>150.15649338350028</v>
      </c>
      <c r="AD223" s="259">
        <f t="array" ref="AD223">MIN(IF($J150:$AO150=AD150,$J43:$AO43+$J48:$AO48))</f>
        <v>150.15649338350028</v>
      </c>
      <c r="AE223" s="259">
        <f t="array" ref="AE223">MIN(IF($J150:$AO150=AE150,$J43:$AO43+$J48:$AO48))</f>
        <v>150.15649338350028</v>
      </c>
      <c r="AF223" s="259">
        <f t="array" ref="AF223">MIN(IF($J150:$AO150=AF150,$J43:$AO43+$J48:$AO48))</f>
        <v>150.15649338350028</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1036</v>
      </c>
      <c r="G225" t="s">
        <v>270</v>
      </c>
      <c r="J225" s="259">
        <f>MAX(-J223,J199)</f>
        <v>7.8523025934678818</v>
      </c>
      <c r="K225" s="259">
        <f t="shared" ref="K225:AO225" si="112">MAX(-K223,K199)</f>
        <v>0</v>
      </c>
      <c r="L225" s="259">
        <f t="shared" si="112"/>
        <v>0</v>
      </c>
      <c r="M225" s="259">
        <f t="shared" si="112"/>
        <v>10.105268661491365</v>
      </c>
      <c r="N225" s="259">
        <f t="shared" si="112"/>
        <v>21.638193117214545</v>
      </c>
      <c r="O225" s="259">
        <f t="shared" si="112"/>
        <v>46.833333130569912</v>
      </c>
      <c r="P225" s="259">
        <f t="shared" si="112"/>
        <v>137.00884049865513</v>
      </c>
      <c r="Q225" s="259">
        <f t="shared" si="112"/>
        <v>0</v>
      </c>
      <c r="R225" s="259">
        <f t="shared" si="112"/>
        <v>0</v>
      </c>
      <c r="S225" s="259">
        <f t="shared" si="112"/>
        <v>268.22768318150088</v>
      </c>
      <c r="T225" s="259">
        <f t="shared" si="112"/>
        <v>462.3018403306333</v>
      </c>
      <c r="U225" s="259">
        <f t="shared" si="112"/>
        <v>790.67216038630136</v>
      </c>
      <c r="V225" s="259">
        <f t="shared" si="112"/>
        <v>1670.8925956682424</v>
      </c>
      <c r="W225" s="259">
        <f t="shared" si="112"/>
        <v>0</v>
      </c>
      <c r="X225" s="259">
        <f t="shared" si="112"/>
        <v>268.22768318150099</v>
      </c>
      <c r="Y225" s="259">
        <f t="shared" si="112"/>
        <v>462.3018403306333</v>
      </c>
      <c r="Z225" s="259">
        <f t="shared" si="112"/>
        <v>790.67216038630136</v>
      </c>
      <c r="AA225" s="259">
        <f t="shared" si="112"/>
        <v>1670.8925956682424</v>
      </c>
      <c r="AB225" s="259">
        <f t="shared" si="112"/>
        <v>0</v>
      </c>
      <c r="AC225" s="259">
        <f t="shared" si="112"/>
        <v>1346.9349131472329</v>
      </c>
      <c r="AD225" s="259">
        <f t="shared" si="112"/>
        <v>4270.4269599190093</v>
      </c>
      <c r="AE225" s="259">
        <f t="shared" si="112"/>
        <v>8327.2804992840283</v>
      </c>
      <c r="AF225" s="259">
        <f t="shared" si="112"/>
        <v>22403.82171667842</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1037</v>
      </c>
      <c r="G227" t="s">
        <v>270</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1038</v>
      </c>
      <c r="G229" t="s">
        <v>922</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1039</v>
      </c>
      <c r="G231" t="s">
        <v>922</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1040</v>
      </c>
      <c r="I235" t="s">
        <v>154</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1114</v>
      </c>
    </row>
    <row r="236" spans="3:43" x14ac:dyDescent="0.25">
      <c r="C236" s="71"/>
      <c r="D236" s="71" t="s">
        <v>1041</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1042</v>
      </c>
      <c r="G238" t="s">
        <v>904</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1043</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1044</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1045</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1046</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1047</v>
      </c>
      <c r="G245" s="90" t="s">
        <v>149</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1048</v>
      </c>
      <c r="G246" t="s">
        <v>149</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1049</v>
      </c>
      <c r="G247" s="91" t="s">
        <v>149</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1050</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1047</v>
      </c>
      <c r="G250" s="90" t="s">
        <v>269</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1048</v>
      </c>
      <c r="G251" t="s">
        <v>269</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1049</v>
      </c>
      <c r="G252" s="91" t="s">
        <v>269</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1051</v>
      </c>
      <c r="I254" t="s">
        <v>154</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1140</v>
      </c>
    </row>
    <row r="255" spans="3:43" x14ac:dyDescent="0.25">
      <c r="C255" s="71"/>
      <c r="E255" s="2" t="s">
        <v>1052</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1053</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1047</v>
      </c>
      <c r="G258" s="90" t="s">
        <v>269</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1048</v>
      </c>
      <c r="G259" t="s">
        <v>269</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1049</v>
      </c>
      <c r="G260" s="91" t="s">
        <v>269</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1054</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1047</v>
      </c>
      <c r="G263" s="90" t="s">
        <v>269</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1048</v>
      </c>
      <c r="G264" t="s">
        <v>269</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1049</v>
      </c>
      <c r="G265" s="91" t="s">
        <v>269</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1055</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1047</v>
      </c>
      <c r="G268" s="90" t="s">
        <v>149</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1048</v>
      </c>
      <c r="G269" t="s">
        <v>149</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1049</v>
      </c>
      <c r="G270" s="91" t="s">
        <v>149</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1056</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1047</v>
      </c>
      <c r="G273" s="90" t="s">
        <v>207</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1048</v>
      </c>
      <c r="G274" t="s">
        <v>207</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1049</v>
      </c>
      <c r="G275" s="91" t="s">
        <v>207</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1057</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1047</v>
      </c>
      <c r="G278" s="90" t="s">
        <v>207</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1048</v>
      </c>
      <c r="G279" t="s">
        <v>207</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1049</v>
      </c>
      <c r="G280" s="91" t="s">
        <v>207</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1058</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1047</v>
      </c>
      <c r="G283" s="90" t="s">
        <v>207</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1048</v>
      </c>
      <c r="G284" t="s">
        <v>207</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1049</v>
      </c>
      <c r="G285" s="91" t="s">
        <v>207</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1059</v>
      </c>
      <c r="E289" s="60"/>
      <c r="I289" t="s">
        <v>154</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1114</v>
      </c>
    </row>
    <row r="290" spans="3:44" x14ac:dyDescent="0.25">
      <c r="C290" s="71"/>
      <c r="D290" s="71" t="s">
        <v>1060</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1061</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1062</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1063</v>
      </c>
      <c r="G294" t="s">
        <v>922</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1064</v>
      </c>
      <c r="G296" t="s">
        <v>922</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1012</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1065</v>
      </c>
      <c r="G299" t="s">
        <v>207</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1014</v>
      </c>
      <c r="G301" t="s">
        <v>207</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1016</v>
      </c>
      <c r="G303" t="s">
        <v>207</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1066</v>
      </c>
      <c r="G305" t="s">
        <v>269</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1067</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1047</v>
      </c>
      <c r="G308" s="90" t="s">
        <v>904</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1048</v>
      </c>
      <c r="G309" t="s">
        <v>904</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1049</v>
      </c>
      <c r="G310" s="91" t="s">
        <v>904</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1068</v>
      </c>
      <c r="G312" t="s">
        <v>904</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1136</v>
      </c>
      <c r="E316" s="60"/>
      <c r="I316" t="s">
        <v>154</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1114</v>
      </c>
    </row>
    <row r="317" spans="3:43" x14ac:dyDescent="0.25">
      <c r="C317" s="71"/>
      <c r="D317" s="71" t="s">
        <v>1069</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1070</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1071</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1072</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1073</v>
      </c>
      <c r="G322" t="s">
        <v>922</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1074</v>
      </c>
      <c r="G324" t="s">
        <v>922</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1063</v>
      </c>
      <c r="G326" t="s">
        <v>922</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1064</v>
      </c>
      <c r="G328" t="s">
        <v>922</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1012</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1075</v>
      </c>
      <c r="G331" t="s">
        <v>207</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1014</v>
      </c>
      <c r="G333" t="s">
        <v>207</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1016</v>
      </c>
      <c r="G335" t="s">
        <v>207</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1076</v>
      </c>
      <c r="G337" t="s">
        <v>269</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1077</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1047</v>
      </c>
      <c r="G340" s="90" t="s">
        <v>904</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1048</v>
      </c>
      <c r="G341" t="s">
        <v>904</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1049</v>
      </c>
      <c r="G342" s="91" t="s">
        <v>904</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1078</v>
      </c>
      <c r="G344" t="s">
        <v>904</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1136</v>
      </c>
      <c r="E348" s="60"/>
      <c r="I348" t="s">
        <v>154</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1114</v>
      </c>
    </row>
    <row r="349" spans="3:43" x14ac:dyDescent="0.25">
      <c r="C349" s="71"/>
      <c r="D349" s="71" t="s">
        <v>1079</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1070</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1071</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1080</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1081</v>
      </c>
      <c r="G354" t="s">
        <v>922</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1074</v>
      </c>
      <c r="G356" t="s">
        <v>922</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1063</v>
      </c>
      <c r="G358" t="s">
        <v>922</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1064</v>
      </c>
      <c r="G360" t="s">
        <v>922</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1012</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1075</v>
      </c>
      <c r="G363" t="s">
        <v>207</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1014</v>
      </c>
      <c r="G365" t="s">
        <v>207</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1016</v>
      </c>
      <c r="G367" t="s">
        <v>207</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1082</v>
      </c>
      <c r="G369" t="s">
        <v>269</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1083</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1047</v>
      </c>
      <c r="G372" s="90" t="s">
        <v>904</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1048</v>
      </c>
      <c r="G373" t="s">
        <v>904</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1049</v>
      </c>
      <c r="G374" s="91" t="s">
        <v>904</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1084</v>
      </c>
      <c r="G376" t="s">
        <v>904</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1132</v>
      </c>
      <c r="E380" s="60"/>
      <c r="I380" t="s">
        <v>154</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1114</v>
      </c>
    </row>
    <row r="381" spans="3:43" x14ac:dyDescent="0.25">
      <c r="C381" s="71"/>
      <c r="D381" s="71" t="s">
        <v>1085</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1086</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1087</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1088</v>
      </c>
      <c r="G385" s="90" t="s">
        <v>904</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1089</v>
      </c>
      <c r="G386" t="s">
        <v>904</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1090</v>
      </c>
      <c r="G387" s="91" t="s">
        <v>904</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1091</v>
      </c>
      <c r="G389" t="s">
        <v>149</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1092</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1088</v>
      </c>
      <c r="G392" s="90" t="s">
        <v>904</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1089</v>
      </c>
      <c r="G393" t="s">
        <v>904</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1090</v>
      </c>
      <c r="G394" s="91" t="s">
        <v>904</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1093</v>
      </c>
      <c r="G396" t="s">
        <v>269</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1094</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1047</v>
      </c>
      <c r="G399" s="90" t="s">
        <v>269</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1048</v>
      </c>
      <c r="G400" t="s">
        <v>269</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1049</v>
      </c>
      <c r="G401" s="91" t="s">
        <v>269</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1095</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156</v>
      </c>
      <c r="G404" s="90" t="s">
        <v>269</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157</v>
      </c>
      <c r="G405" t="s">
        <v>269</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158</v>
      </c>
      <c r="G406" s="91" t="s">
        <v>269</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1013</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929</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156</v>
      </c>
      <c r="G413" s="90" t="s">
        <v>269</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0.94340364602068816</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157</v>
      </c>
      <c r="G414" t="s">
        <v>269</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0.94340364602068816</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158</v>
      </c>
      <c r="G415" t="s">
        <v>269</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0.94340364602068816</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159</v>
      </c>
      <c r="G416" t="s">
        <v>270</v>
      </c>
      <c r="J416" s="311">
        <f t="shared" ref="J416:AO416" si="173">J225</f>
        <v>7.8523025934678818</v>
      </c>
      <c r="K416" s="311">
        <f t="shared" si="173"/>
        <v>0</v>
      </c>
      <c r="L416" s="311">
        <f t="shared" si="173"/>
        <v>0</v>
      </c>
      <c r="M416" s="311">
        <f t="shared" si="173"/>
        <v>10.105268661491365</v>
      </c>
      <c r="N416" s="311">
        <f t="shared" si="173"/>
        <v>21.638193117214545</v>
      </c>
      <c r="O416" s="311">
        <f t="shared" si="173"/>
        <v>46.833333130569912</v>
      </c>
      <c r="P416" s="311">
        <f t="shared" si="173"/>
        <v>137.00884049865513</v>
      </c>
      <c r="Q416" s="311">
        <f t="shared" si="173"/>
        <v>0</v>
      </c>
      <c r="R416" s="311">
        <f t="shared" si="173"/>
        <v>0</v>
      </c>
      <c r="S416" s="311">
        <f t="shared" si="173"/>
        <v>268.22768318150088</v>
      </c>
      <c r="T416" s="311">
        <f t="shared" si="173"/>
        <v>462.3018403306333</v>
      </c>
      <c r="U416" s="311">
        <f t="shared" si="173"/>
        <v>790.67216038630136</v>
      </c>
      <c r="V416" s="311">
        <f t="shared" si="173"/>
        <v>1670.8925956682424</v>
      </c>
      <c r="W416" s="311">
        <f t="shared" si="173"/>
        <v>0</v>
      </c>
      <c r="X416" s="311">
        <f t="shared" si="173"/>
        <v>268.22768318150099</v>
      </c>
      <c r="Y416" s="311">
        <f t="shared" si="173"/>
        <v>462.3018403306333</v>
      </c>
      <c r="Z416" s="311">
        <f t="shared" si="173"/>
        <v>790.67216038630136</v>
      </c>
      <c r="AA416" s="311">
        <f t="shared" si="173"/>
        <v>1670.8925956682424</v>
      </c>
      <c r="AB416" s="311">
        <f t="shared" si="173"/>
        <v>0</v>
      </c>
      <c r="AC416" s="311">
        <f t="shared" si="173"/>
        <v>1346.9349131472329</v>
      </c>
      <c r="AD416" s="311">
        <f t="shared" si="173"/>
        <v>4270.4269599190093</v>
      </c>
      <c r="AE416" s="311">
        <f t="shared" si="173"/>
        <v>8327.2804992840283</v>
      </c>
      <c r="AF416" s="311">
        <f t="shared" si="173"/>
        <v>22403.82171667842</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160</v>
      </c>
      <c r="G417" t="s">
        <v>271</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161</v>
      </c>
      <c r="G418" t="s">
        <v>271</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162</v>
      </c>
      <c r="G419" s="91" t="s">
        <v>272</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231</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1096</v>
      </c>
      <c r="F423" s="89"/>
      <c r="G423" t="s">
        <v>922</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1097</v>
      </c>
      <c r="F425" s="89"/>
      <c r="G425" t="s">
        <v>922</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1098</v>
      </c>
      <c r="F427" s="89"/>
      <c r="G427" t="s">
        <v>904</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1099</v>
      </c>
      <c r="G429" s="6" t="s">
        <v>55</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232</v>
      </c>
      <c r="G431" s="6" t="s">
        <v>55</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928</v>
      </c>
      <c r="G433" s="6" t="s">
        <v>55</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106</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740</v>
      </c>
      <c r="E9"/>
    </row>
    <row r="10" spans="1:43" x14ac:dyDescent="0.25">
      <c r="C10" s="71" t="s">
        <v>741</v>
      </c>
      <c r="E10"/>
    </row>
    <row r="12" spans="1:43" x14ac:dyDescent="0.25">
      <c r="B12" s="70" t="s">
        <v>742</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743</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744</v>
      </c>
      <c r="F18" s="60"/>
    </row>
    <row r="19" spans="3:43" x14ac:dyDescent="0.25">
      <c r="E19" s="71" t="s">
        <v>745</v>
      </c>
      <c r="F19" s="2"/>
    </row>
    <row r="20" spans="3:43" x14ac:dyDescent="0.25">
      <c r="C20" s="100"/>
      <c r="F20" s="90" t="s">
        <v>156</v>
      </c>
      <c r="G20" s="90" t="s">
        <v>269</v>
      </c>
      <c r="H20" s="276"/>
      <c r="I20" s="264"/>
      <c r="J20" s="276">
        <f>'Revenue matching'!J40</f>
        <v>11.75861140842118</v>
      </c>
      <c r="K20" s="276">
        <f>'Revenue matching'!K40</f>
        <v>11.75861140842118</v>
      </c>
      <c r="L20" s="276">
        <f>'Revenue matching'!L40</f>
        <v>13.505938712363852</v>
      </c>
      <c r="M20" s="276">
        <f>'Revenue matching'!M40</f>
        <v>13.505938712363852</v>
      </c>
      <c r="N20" s="276">
        <f>'Revenue matching'!N40</f>
        <v>13.505938712363852</v>
      </c>
      <c r="O20" s="276">
        <f>'Revenue matching'!O40</f>
        <v>13.505938712363852</v>
      </c>
      <c r="P20" s="276">
        <f>'Revenue matching'!P40</f>
        <v>13.505938712363852</v>
      </c>
      <c r="Q20" s="276">
        <f>'Revenue matching'!Q40</f>
        <v>13.505938712363852</v>
      </c>
      <c r="R20" s="276">
        <f>'Revenue matching'!R40</f>
        <v>10.050096626636556</v>
      </c>
      <c r="S20" s="276">
        <f>'Revenue matching'!S40</f>
        <v>10.050096626636556</v>
      </c>
      <c r="T20" s="276">
        <f>'Revenue matching'!T40</f>
        <v>10.050096626636556</v>
      </c>
      <c r="U20" s="276">
        <f>'Revenue matching'!U40</f>
        <v>10.050096626636556</v>
      </c>
      <c r="V20" s="276">
        <f>'Revenue matching'!V40</f>
        <v>10.050096626636556</v>
      </c>
      <c r="W20" s="276">
        <f>'Revenue matching'!W40</f>
        <v>5.5048475396839871</v>
      </c>
      <c r="X20" s="276">
        <f>'Revenue matching'!X40</f>
        <v>5.5048475396839871</v>
      </c>
      <c r="Y20" s="276">
        <f>'Revenue matching'!Y40</f>
        <v>5.5048475396839871</v>
      </c>
      <c r="Z20" s="276">
        <f>'Revenue matching'!Z40</f>
        <v>5.5048475396839871</v>
      </c>
      <c r="AA20" s="276">
        <f>'Revenue matching'!AA40</f>
        <v>5.5048475396839871</v>
      </c>
      <c r="AB20" s="276">
        <f>'Revenue matching'!AB40</f>
        <v>3.934537906520795</v>
      </c>
      <c r="AC20" s="276">
        <f>'Revenue matching'!AC40</f>
        <v>3.934537906520795</v>
      </c>
      <c r="AD20" s="276">
        <f>'Revenue matching'!AD40</f>
        <v>3.934537906520795</v>
      </c>
      <c r="AE20" s="276">
        <f>'Revenue matching'!AE40</f>
        <v>3.934537906520795</v>
      </c>
      <c r="AF20" s="276">
        <f>'Revenue matching'!AF40</f>
        <v>3.934537906520795</v>
      </c>
      <c r="AG20" s="276">
        <f>'Revenue matching'!AG40</f>
        <v>31.99688783944076</v>
      </c>
      <c r="AH20" s="276">
        <f>'Revenue matching'!AH40</f>
        <v>-8.6828864111564013</v>
      </c>
      <c r="AI20" s="276">
        <f>'Revenue matching'!AI40</f>
        <v>-7.4909886820067939</v>
      </c>
      <c r="AJ20" s="276">
        <f>'Revenue matching'!AJ40</f>
        <v>-8.6828864111564013</v>
      </c>
      <c r="AK20" s="276">
        <f>'Revenue matching'!AK40</f>
        <v>-8.6828864111564013</v>
      </c>
      <c r="AL20" s="276">
        <f>'Revenue matching'!AL40</f>
        <v>-7.4909886820067939</v>
      </c>
      <c r="AM20" s="276">
        <f>'Revenue matching'!AM40</f>
        <v>-7.4909886820067939</v>
      </c>
      <c r="AN20" s="276">
        <f>'Revenue matching'!AN40</f>
        <v>-4.6866256396748103</v>
      </c>
      <c r="AO20" s="276">
        <f>'Revenue matching'!AO40</f>
        <v>-4.6866256396748103</v>
      </c>
      <c r="AP20" s="266"/>
      <c r="AQ20" s="266"/>
    </row>
    <row r="21" spans="3:43" x14ac:dyDescent="0.25">
      <c r="C21" s="100"/>
      <c r="F21" t="s">
        <v>157</v>
      </c>
      <c r="G21" t="s">
        <v>269</v>
      </c>
      <c r="H21" s="277"/>
      <c r="I21" s="266"/>
      <c r="J21" s="277">
        <f>'Revenue matching'!J41</f>
        <v>1.2816580758372413</v>
      </c>
      <c r="K21" s="277">
        <f>'Revenue matching'!K41</f>
        <v>1.2816580758372413</v>
      </c>
      <c r="L21" s="277">
        <f>'Revenue matching'!L41</f>
        <v>1.4721122096157584</v>
      </c>
      <c r="M21" s="277">
        <f>'Revenue matching'!M41</f>
        <v>1.4721122096157584</v>
      </c>
      <c r="N21" s="277">
        <f>'Revenue matching'!N41</f>
        <v>1.4721122096157584</v>
      </c>
      <c r="O21" s="277">
        <f>'Revenue matching'!O41</f>
        <v>1.4721122096157584</v>
      </c>
      <c r="P21" s="277">
        <f>'Revenue matching'!P41</f>
        <v>1.4721122096157584</v>
      </c>
      <c r="Q21" s="277">
        <f>'Revenue matching'!Q41</f>
        <v>1.4721122096157584</v>
      </c>
      <c r="R21" s="277">
        <f>'Revenue matching'!R41</f>
        <v>1.0294231999620413</v>
      </c>
      <c r="S21" s="277">
        <f>'Revenue matching'!S41</f>
        <v>1.0294231999620413</v>
      </c>
      <c r="T21" s="277">
        <f>'Revenue matching'!T41</f>
        <v>1.0294231999620413</v>
      </c>
      <c r="U21" s="277">
        <f>'Revenue matching'!U41</f>
        <v>1.0294231999620413</v>
      </c>
      <c r="V21" s="277">
        <f>'Revenue matching'!V41</f>
        <v>1.0294231999620413</v>
      </c>
      <c r="W21" s="277">
        <f>'Revenue matching'!W41</f>
        <v>0.45411164819859201</v>
      </c>
      <c r="X21" s="277">
        <f>'Revenue matching'!X41</f>
        <v>0.45411164819859201</v>
      </c>
      <c r="Y21" s="277">
        <f>'Revenue matching'!Y41</f>
        <v>0.45411164819859201</v>
      </c>
      <c r="Z21" s="277">
        <f>'Revenue matching'!Z41</f>
        <v>0.45411164819859201</v>
      </c>
      <c r="AA21" s="277">
        <f>'Revenue matching'!AA41</f>
        <v>0.45411164819859201</v>
      </c>
      <c r="AB21" s="277">
        <f>'Revenue matching'!AB41</f>
        <v>0.2863417016086891</v>
      </c>
      <c r="AC21" s="277">
        <f>'Revenue matching'!AC41</f>
        <v>0.2863417016086891</v>
      </c>
      <c r="AD21" s="277">
        <f>'Revenue matching'!AD41</f>
        <v>0.2863417016086891</v>
      </c>
      <c r="AE21" s="277">
        <f>'Revenue matching'!AE41</f>
        <v>0.2863417016086891</v>
      </c>
      <c r="AF21" s="277">
        <f>'Revenue matching'!AF41</f>
        <v>0.2863417016086891</v>
      </c>
      <c r="AG21" s="277">
        <f>'Revenue matching'!AG41</f>
        <v>1.7000933257971842</v>
      </c>
      <c r="AH21" s="277">
        <f>'Revenue matching'!AH41</f>
        <v>-0.94641204678863167</v>
      </c>
      <c r="AI21" s="277">
        <f>'Revenue matching'!AI41</f>
        <v>-0.79108714654520906</v>
      </c>
      <c r="AJ21" s="277">
        <f>'Revenue matching'!AJ41</f>
        <v>-0.94641204678863167</v>
      </c>
      <c r="AK21" s="277">
        <f>'Revenue matching'!AK41</f>
        <v>-0.94641204678863167</v>
      </c>
      <c r="AL21" s="277">
        <f>'Revenue matching'!AL41</f>
        <v>-0.79108714654520906</v>
      </c>
      <c r="AM21" s="277">
        <f>'Revenue matching'!AM41</f>
        <v>-0.79108714654520906</v>
      </c>
      <c r="AN21" s="277">
        <f>'Revenue matching'!AN41</f>
        <v>-0.38661403033964564</v>
      </c>
      <c r="AO21" s="277">
        <f>'Revenue matching'!AO41</f>
        <v>-0.38661403033964564</v>
      </c>
      <c r="AP21" s="266"/>
      <c r="AQ21" s="266"/>
    </row>
    <row r="22" spans="3:43" x14ac:dyDescent="0.25">
      <c r="C22" s="100"/>
      <c r="F22" t="s">
        <v>158</v>
      </c>
      <c r="G22" t="s">
        <v>269</v>
      </c>
      <c r="H22" s="277"/>
      <c r="I22" s="266"/>
      <c r="J22" s="277">
        <f>'Revenue matching'!J42</f>
        <v>2.5851809433392624E-2</v>
      </c>
      <c r="K22" s="277">
        <f>'Revenue matching'!K42</f>
        <v>2.5851809433392624E-2</v>
      </c>
      <c r="L22" s="277">
        <f>'Revenue matching'!L42</f>
        <v>2.9693383145654183E-2</v>
      </c>
      <c r="M22" s="277">
        <f>'Revenue matching'!M42</f>
        <v>2.9693383145654183E-2</v>
      </c>
      <c r="N22" s="277">
        <f>'Revenue matching'!N42</f>
        <v>2.9693383145654183E-2</v>
      </c>
      <c r="O22" s="277">
        <f>'Revenue matching'!O42</f>
        <v>2.9693383145654183E-2</v>
      </c>
      <c r="P22" s="277">
        <f>'Revenue matching'!P42</f>
        <v>2.9693383145654183E-2</v>
      </c>
      <c r="Q22" s="277">
        <f>'Revenue matching'!Q42</f>
        <v>2.9693383145654183E-2</v>
      </c>
      <c r="R22" s="277">
        <f>'Revenue matching'!R42</f>
        <v>2.109399736806291E-2</v>
      </c>
      <c r="S22" s="277">
        <f>'Revenue matching'!S42</f>
        <v>2.109399736806291E-2</v>
      </c>
      <c r="T22" s="277">
        <f>'Revenue matching'!T42</f>
        <v>2.109399736806291E-2</v>
      </c>
      <c r="U22" s="277">
        <f>'Revenue matching'!U42</f>
        <v>2.109399736806291E-2</v>
      </c>
      <c r="V22" s="277">
        <f>'Revenue matching'!V42</f>
        <v>2.109399736806291E-2</v>
      </c>
      <c r="W22" s="277">
        <f>'Revenue matching'!W42</f>
        <v>9.8889062887688589E-3</v>
      </c>
      <c r="X22" s="277">
        <f>'Revenue matching'!X42</f>
        <v>9.8889062887688589E-3</v>
      </c>
      <c r="Y22" s="277">
        <f>'Revenue matching'!Y42</f>
        <v>9.8889062887688589E-3</v>
      </c>
      <c r="Z22" s="277">
        <f>'Revenue matching'!Z42</f>
        <v>9.8889062887688589E-3</v>
      </c>
      <c r="AA22" s="277">
        <f>'Revenue matching'!AA42</f>
        <v>9.8889062887688589E-3</v>
      </c>
      <c r="AB22" s="277">
        <f>'Revenue matching'!AB42</f>
        <v>6.487944767554584E-3</v>
      </c>
      <c r="AC22" s="277">
        <f>'Revenue matching'!AC42</f>
        <v>6.487944767554584E-3</v>
      </c>
      <c r="AD22" s="277">
        <f>'Revenue matching'!AD42</f>
        <v>6.487944767554584E-3</v>
      </c>
      <c r="AE22" s="277">
        <f>'Revenue matching'!AE42</f>
        <v>6.487944767554584E-3</v>
      </c>
      <c r="AF22" s="277">
        <f>'Revenue matching'!AF42</f>
        <v>6.487944767554584E-3</v>
      </c>
      <c r="AG22" s="277">
        <f>'Revenue matching'!AG42</f>
        <v>0.54375874065497121</v>
      </c>
      <c r="AH22" s="277">
        <f>'Revenue matching'!AH42</f>
        <v>-1.9089696651787637E-2</v>
      </c>
      <c r="AI22" s="277">
        <f>'Revenue matching'!AI42</f>
        <v>-1.608370245700632E-2</v>
      </c>
      <c r="AJ22" s="277">
        <f>'Revenue matching'!AJ42</f>
        <v>-1.9089696651787637E-2</v>
      </c>
      <c r="AK22" s="277">
        <f>'Revenue matching'!AK42</f>
        <v>-1.9089696651787637E-2</v>
      </c>
      <c r="AL22" s="277">
        <f>'Revenue matching'!AL42</f>
        <v>-1.608370245700632E-2</v>
      </c>
      <c r="AM22" s="277">
        <f>'Revenue matching'!AM42</f>
        <v>-1.608370245700632E-2</v>
      </c>
      <c r="AN22" s="277">
        <f>'Revenue matching'!AN42</f>
        <v>-8.4190527398232233E-3</v>
      </c>
      <c r="AO22" s="277">
        <f>'Revenue matching'!AO42</f>
        <v>-8.4190527398232233E-3</v>
      </c>
      <c r="AP22" s="266"/>
      <c r="AQ22" s="266"/>
    </row>
    <row r="23" spans="3:43" x14ac:dyDescent="0.25">
      <c r="C23" s="100"/>
      <c r="F23" t="s">
        <v>159</v>
      </c>
      <c r="G23" t="s">
        <v>270</v>
      </c>
      <c r="H23" s="63"/>
      <c r="J23" s="163">
        <f>'Revenue matching'!J43</f>
        <v>6.8570911617093202</v>
      </c>
      <c r="K23" s="163">
        <f>'Revenue matching'!K43</f>
        <v>0</v>
      </c>
      <c r="L23" s="163">
        <f>'Revenue matching'!L43</f>
        <v>8.4039402273991612</v>
      </c>
      <c r="M23" s="163">
        <f>'Revenue matching'!M43</f>
        <v>8.4039402273991612</v>
      </c>
      <c r="N23" s="163">
        <f>'Revenue matching'!N43</f>
        <v>8.4039402273991612</v>
      </c>
      <c r="O23" s="163">
        <f>'Revenue matching'!O43</f>
        <v>8.4039402273991612</v>
      </c>
      <c r="P23" s="163">
        <f>'Revenue matching'!P43</f>
        <v>8.4039402273991612</v>
      </c>
      <c r="Q23" s="163">
        <f>'Revenue matching'!Q43</f>
        <v>0</v>
      </c>
      <c r="R23" s="163">
        <f>'Revenue matching'!R43</f>
        <v>28.092337095321017</v>
      </c>
      <c r="S23" s="163">
        <f>'Revenue matching'!S43</f>
        <v>28.092337095321017</v>
      </c>
      <c r="T23" s="163">
        <f>'Revenue matching'!T43</f>
        <v>28.092337095321017</v>
      </c>
      <c r="U23" s="163">
        <f>'Revenue matching'!U43</f>
        <v>28.092337095321017</v>
      </c>
      <c r="V23" s="163">
        <f>'Revenue matching'!V43</f>
        <v>28.092337095321017</v>
      </c>
      <c r="W23" s="163">
        <f>'Revenue matching'!W43</f>
        <v>9.9149425042309467</v>
      </c>
      <c r="X23" s="163">
        <f>'Revenue matching'!X43</f>
        <v>9.9149425042309467</v>
      </c>
      <c r="Y23" s="163">
        <f>'Revenue matching'!Y43</f>
        <v>9.9149425042309467</v>
      </c>
      <c r="Z23" s="163">
        <f>'Revenue matching'!Z43</f>
        <v>9.9149425042309467</v>
      </c>
      <c r="AA23" s="163">
        <f>'Revenue matching'!AA43</f>
        <v>9.9149425042309467</v>
      </c>
      <c r="AB23" s="163">
        <f>'Revenue matching'!AB43</f>
        <v>150.1181966569537</v>
      </c>
      <c r="AC23" s="163">
        <f>'Revenue matching'!AC43</f>
        <v>150.1181966569537</v>
      </c>
      <c r="AD23" s="163">
        <f>'Revenue matching'!AD43</f>
        <v>150.1181966569537</v>
      </c>
      <c r="AE23" s="163">
        <f>'Revenue matching'!AE43</f>
        <v>150.1181966569537</v>
      </c>
      <c r="AF23" s="163">
        <f>'Revenue matching'!AF43</f>
        <v>150.1181966569537</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109.61913218665811</v>
      </c>
      <c r="AO23" s="163">
        <f>'Revenue matching'!AO43</f>
        <v>109.61913218665811</v>
      </c>
    </row>
    <row r="24" spans="3:43" x14ac:dyDescent="0.25">
      <c r="C24" s="100"/>
      <c r="F24" t="s">
        <v>160</v>
      </c>
      <c r="G24" t="s">
        <v>271</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5.157426726498894</v>
      </c>
      <c r="S24" s="163">
        <f>'Revenue matching'!S44</f>
        <v>5.157426726498894</v>
      </c>
      <c r="T24" s="163">
        <f>'Revenue matching'!T44</f>
        <v>5.157426726498894</v>
      </c>
      <c r="U24" s="163">
        <f>'Revenue matching'!U44</f>
        <v>5.157426726498894</v>
      </c>
      <c r="V24" s="163">
        <f>'Revenue matching'!V44</f>
        <v>5.157426726498894</v>
      </c>
      <c r="W24" s="163">
        <f>'Revenue matching'!W44</f>
        <v>7.2722766253928866</v>
      </c>
      <c r="X24" s="163">
        <f>'Revenue matching'!X44</f>
        <v>7.2722766253928866</v>
      </c>
      <c r="Y24" s="163">
        <f>'Revenue matching'!Y44</f>
        <v>7.2722766253928866</v>
      </c>
      <c r="Z24" s="163">
        <f>'Revenue matching'!Z44</f>
        <v>7.2722766253928866</v>
      </c>
      <c r="AA24" s="163">
        <f>'Revenue matching'!AA44</f>
        <v>7.2722766253928866</v>
      </c>
      <c r="AB24" s="163">
        <f>'Revenue matching'!AB44</f>
        <v>8.657780801769924</v>
      </c>
      <c r="AC24" s="163">
        <f>'Revenue matching'!AC44</f>
        <v>8.657780801769924</v>
      </c>
      <c r="AD24" s="163">
        <f>'Revenue matching'!AD44</f>
        <v>8.657780801769924</v>
      </c>
      <c r="AE24" s="163">
        <f>'Revenue matching'!AE44</f>
        <v>8.657780801769924</v>
      </c>
      <c r="AF24" s="163">
        <f>'Revenue matching'!AF44</f>
        <v>8.657780801769924</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161</v>
      </c>
      <c r="G25" t="s">
        <v>271</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5.157426726498894</v>
      </c>
      <c r="S25" s="163">
        <f>'Revenue matching'!S45</f>
        <v>5.157426726498894</v>
      </c>
      <c r="T25" s="163">
        <f>'Revenue matching'!T45</f>
        <v>5.157426726498894</v>
      </c>
      <c r="U25" s="163">
        <f>'Revenue matching'!U45</f>
        <v>5.157426726498894</v>
      </c>
      <c r="V25" s="163">
        <f>'Revenue matching'!V45</f>
        <v>5.157426726498894</v>
      </c>
      <c r="W25" s="163">
        <f>'Revenue matching'!W45</f>
        <v>7.2722766253928866</v>
      </c>
      <c r="X25" s="163">
        <f>'Revenue matching'!X45</f>
        <v>7.2722766253928866</v>
      </c>
      <c r="Y25" s="163">
        <f>'Revenue matching'!Y45</f>
        <v>7.2722766253928866</v>
      </c>
      <c r="Z25" s="163">
        <f>'Revenue matching'!Z45</f>
        <v>7.2722766253928866</v>
      </c>
      <c r="AA25" s="163">
        <f>'Revenue matching'!AA45</f>
        <v>7.2722766253928866</v>
      </c>
      <c r="AB25" s="163">
        <f>'Revenue matching'!AB45</f>
        <v>8.657780801769924</v>
      </c>
      <c r="AC25" s="163">
        <f>'Revenue matching'!AC45</f>
        <v>8.657780801769924</v>
      </c>
      <c r="AD25" s="163">
        <f>'Revenue matching'!AD45</f>
        <v>8.657780801769924</v>
      </c>
      <c r="AE25" s="163">
        <f>'Revenue matching'!AE45</f>
        <v>8.657780801769924</v>
      </c>
      <c r="AF25" s="163">
        <f>'Revenue matching'!AF45</f>
        <v>8.657780801769924</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162</v>
      </c>
      <c r="G26" s="91" t="s">
        <v>272</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0.22303605893423567</v>
      </c>
      <c r="S26" s="314">
        <f>'Revenue matching'!S46</f>
        <v>0.22303605893423567</v>
      </c>
      <c r="T26" s="314">
        <f>'Revenue matching'!T46</f>
        <v>0.22303605893423567</v>
      </c>
      <c r="U26" s="314">
        <f>'Revenue matching'!U46</f>
        <v>0.22303605893423567</v>
      </c>
      <c r="V26" s="314">
        <f>'Revenue matching'!V46</f>
        <v>0.22303605893423567</v>
      </c>
      <c r="W26" s="314">
        <f>'Revenue matching'!W46</f>
        <v>0.11885406809484486</v>
      </c>
      <c r="X26" s="314">
        <f>'Revenue matching'!X46</f>
        <v>0.11885406809484486</v>
      </c>
      <c r="Y26" s="314">
        <f>'Revenue matching'!Y46</f>
        <v>0.11885406809484486</v>
      </c>
      <c r="Z26" s="314">
        <f>'Revenue matching'!Z46</f>
        <v>0.11885406809484486</v>
      </c>
      <c r="AA26" s="314">
        <f>'Revenue matching'!AA46</f>
        <v>0.11885406809484486</v>
      </c>
      <c r="AB26" s="314">
        <f>'Revenue matching'!AB46</f>
        <v>8.1602449681017319E-2</v>
      </c>
      <c r="AC26" s="314">
        <f>'Revenue matching'!AC46</f>
        <v>8.1602449681017319E-2</v>
      </c>
      <c r="AD26" s="314">
        <f>'Revenue matching'!AD46</f>
        <v>8.1602449681017319E-2</v>
      </c>
      <c r="AE26" s="314">
        <f>'Revenue matching'!AE46</f>
        <v>8.1602449681017319E-2</v>
      </c>
      <c r="AF26" s="314">
        <f>'Revenue matching'!AF46</f>
        <v>8.1602449681017319E-2</v>
      </c>
      <c r="AG26" s="314">
        <f>'Revenue matching'!AG46</f>
        <v>0</v>
      </c>
      <c r="AH26" s="314">
        <f>'Revenue matching'!AH46</f>
        <v>0</v>
      </c>
      <c r="AI26" s="314">
        <f>'Revenue matching'!AI46</f>
        <v>0</v>
      </c>
      <c r="AJ26" s="314">
        <f>'Revenue matching'!AJ46</f>
        <v>0.19787136915965053</v>
      </c>
      <c r="AK26" s="314">
        <f>'Revenue matching'!AK46</f>
        <v>0</v>
      </c>
      <c r="AL26" s="314">
        <f>'Revenue matching'!AL46</f>
        <v>0.16337193391660304</v>
      </c>
      <c r="AM26" s="314">
        <f>'Revenue matching'!AM46</f>
        <v>0</v>
      </c>
      <c r="AN26" s="314">
        <f>'Revenue matching'!AN46</f>
        <v>0.14703085117058712</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1119</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1120</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156</v>
      </c>
      <c r="G32" s="90" t="s">
        <v>269</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0.94340364602068816</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157</v>
      </c>
      <c r="G33" t="s">
        <v>269</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0.94340364602068816</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158</v>
      </c>
      <c r="G34" t="s">
        <v>269</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0.94340364602068816</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159</v>
      </c>
      <c r="G35" t="s">
        <v>270</v>
      </c>
      <c r="H35" s="63"/>
      <c r="J35" s="295">
        <f>'Revenue matching'!J416</f>
        <v>7.8523025934678818</v>
      </c>
      <c r="K35" s="295">
        <f>'Revenue matching'!K416</f>
        <v>0</v>
      </c>
      <c r="L35" s="295">
        <f>'Revenue matching'!L416</f>
        <v>0</v>
      </c>
      <c r="M35" s="295">
        <f>'Revenue matching'!M416</f>
        <v>10.105268661491365</v>
      </c>
      <c r="N35" s="295">
        <f>'Revenue matching'!N416</f>
        <v>21.638193117214545</v>
      </c>
      <c r="O35" s="295">
        <f>'Revenue matching'!O416</f>
        <v>46.833333130569912</v>
      </c>
      <c r="P35" s="295">
        <f>'Revenue matching'!P416</f>
        <v>137.00884049865513</v>
      </c>
      <c r="Q35" s="295">
        <f>'Revenue matching'!Q416</f>
        <v>0</v>
      </c>
      <c r="R35" s="295">
        <f>'Revenue matching'!R416</f>
        <v>0</v>
      </c>
      <c r="S35" s="295">
        <f>'Revenue matching'!S416</f>
        <v>268.22768318150088</v>
      </c>
      <c r="T35" s="295">
        <f>'Revenue matching'!T416</f>
        <v>462.3018403306333</v>
      </c>
      <c r="U35" s="295">
        <f>'Revenue matching'!U416</f>
        <v>790.67216038630136</v>
      </c>
      <c r="V35" s="295">
        <f>'Revenue matching'!V416</f>
        <v>1670.8925956682424</v>
      </c>
      <c r="W35" s="295">
        <f>'Revenue matching'!W416</f>
        <v>0</v>
      </c>
      <c r="X35" s="295">
        <f>'Revenue matching'!X416</f>
        <v>268.22768318150099</v>
      </c>
      <c r="Y35" s="295">
        <f>'Revenue matching'!Y416</f>
        <v>462.3018403306333</v>
      </c>
      <c r="Z35" s="295">
        <f>'Revenue matching'!Z416</f>
        <v>790.67216038630136</v>
      </c>
      <c r="AA35" s="295">
        <f>'Revenue matching'!AA416</f>
        <v>1670.8925956682424</v>
      </c>
      <c r="AB35" s="295">
        <f>'Revenue matching'!AB416</f>
        <v>0</v>
      </c>
      <c r="AC35" s="295">
        <f>'Revenue matching'!AC416</f>
        <v>1346.9349131472329</v>
      </c>
      <c r="AD35" s="295">
        <f>'Revenue matching'!AD416</f>
        <v>4270.4269599190093</v>
      </c>
      <c r="AE35" s="295">
        <f>'Revenue matching'!AE416</f>
        <v>8327.2804992840283</v>
      </c>
      <c r="AF35" s="295">
        <f>'Revenue matching'!AF416</f>
        <v>22403.82171667842</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160</v>
      </c>
      <c r="G36" t="s">
        <v>271</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161</v>
      </c>
      <c r="G37" t="s">
        <v>271</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162</v>
      </c>
      <c r="G38" s="91" t="s">
        <v>272</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872</v>
      </c>
    </row>
    <row r="43" spans="3:43" x14ac:dyDescent="0.25">
      <c r="E43" s="71" t="s">
        <v>884</v>
      </c>
    </row>
    <row r="44" spans="3:43" x14ac:dyDescent="0.25">
      <c r="E44" s="100"/>
      <c r="F44" s="90" t="s">
        <v>156</v>
      </c>
      <c r="G44" s="90" t="s">
        <v>269</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157</v>
      </c>
      <c r="G45" t="s">
        <v>269</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158</v>
      </c>
      <c r="G46" t="s">
        <v>269</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159</v>
      </c>
      <c r="G47" t="s">
        <v>270</v>
      </c>
      <c r="H47" s="63"/>
      <c r="J47" s="164">
        <f>'Revenue matching'!J48</f>
        <v>0.11930926463144902</v>
      </c>
      <c r="K47" s="164">
        <f>'Revenue matching'!K48</f>
        <v>0</v>
      </c>
      <c r="L47" s="164">
        <f>'Revenue matching'!L48</f>
        <v>3.8296726546582768E-2</v>
      </c>
      <c r="M47" s="164">
        <f>'Revenue matching'!M48</f>
        <v>3.8296726546582768E-2</v>
      </c>
      <c r="N47" s="164">
        <f>'Revenue matching'!N48</f>
        <v>3.8296726546582768E-2</v>
      </c>
      <c r="O47" s="164">
        <f>'Revenue matching'!O48</f>
        <v>3.8296726546582768E-2</v>
      </c>
      <c r="P47" s="164">
        <f>'Revenue matching'!P48</f>
        <v>3.8296726546582768E-2</v>
      </c>
      <c r="Q47" s="164">
        <f>'Revenue matching'!Q48</f>
        <v>0</v>
      </c>
      <c r="R47" s="164">
        <f>'Revenue matching'!R48</f>
        <v>3.8296726546582768E-2</v>
      </c>
      <c r="S47" s="164">
        <f>'Revenue matching'!S48</f>
        <v>3.8296726546582768E-2</v>
      </c>
      <c r="T47" s="164">
        <f>'Revenue matching'!T48</f>
        <v>3.8296726546582768E-2</v>
      </c>
      <c r="U47" s="164">
        <f>'Revenue matching'!U48</f>
        <v>3.8296726546582768E-2</v>
      </c>
      <c r="V47" s="164">
        <f>'Revenue matching'!V48</f>
        <v>3.8296726546582768E-2</v>
      </c>
      <c r="W47" s="164">
        <f>'Revenue matching'!W48</f>
        <v>3.8296726546582768E-2</v>
      </c>
      <c r="X47" s="164">
        <f>'Revenue matching'!X48</f>
        <v>3.8296726546582768E-2</v>
      </c>
      <c r="Y47" s="164">
        <f>'Revenue matching'!Y48</f>
        <v>3.8296726546582768E-2</v>
      </c>
      <c r="Z47" s="164">
        <f>'Revenue matching'!Z48</f>
        <v>3.8296726546582768E-2</v>
      </c>
      <c r="AA47" s="164">
        <f>'Revenue matching'!AA48</f>
        <v>3.8296726546582768E-2</v>
      </c>
      <c r="AB47" s="164">
        <f>'Revenue matching'!AB48</f>
        <v>3.8296726546582768E-2</v>
      </c>
      <c r="AC47" s="164">
        <f>'Revenue matching'!AC48</f>
        <v>3.8296726546582768E-2</v>
      </c>
      <c r="AD47" s="164">
        <f>'Revenue matching'!AD48</f>
        <v>3.8296726546582768E-2</v>
      </c>
      <c r="AE47" s="164">
        <f>'Revenue matching'!AE48</f>
        <v>3.8296726546582768E-2</v>
      </c>
      <c r="AF47" s="164">
        <f>'Revenue matching'!AF48</f>
        <v>3.8296726546582768E-2</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160</v>
      </c>
      <c r="G48" t="s">
        <v>271</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161</v>
      </c>
      <c r="G49" t="s">
        <v>271</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162</v>
      </c>
      <c r="G50" s="91" t="s">
        <v>272</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996</v>
      </c>
      <c r="G54" s="351" t="s">
        <v>149</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746</v>
      </c>
      <c r="I56" t="s">
        <v>154</v>
      </c>
      <c r="J56" s="312" t="s">
        <v>1159</v>
      </c>
      <c r="K56" s="312" t="s">
        <v>826</v>
      </c>
      <c r="L56" s="312" t="s">
        <v>1160</v>
      </c>
      <c r="M56" s="312" t="s">
        <v>827</v>
      </c>
      <c r="N56" s="312" t="s">
        <v>833</v>
      </c>
      <c r="O56" s="312" t="s">
        <v>834</v>
      </c>
      <c r="P56" s="312" t="s">
        <v>835</v>
      </c>
      <c r="Q56" s="312" t="s">
        <v>836</v>
      </c>
      <c r="R56" s="312" t="s">
        <v>828</v>
      </c>
      <c r="S56" s="312" t="s">
        <v>829</v>
      </c>
      <c r="T56" s="312" t="s">
        <v>830</v>
      </c>
      <c r="U56" s="312" t="s">
        <v>839</v>
      </c>
      <c r="V56" s="312" t="s">
        <v>831</v>
      </c>
      <c r="W56" s="312" t="s">
        <v>838</v>
      </c>
      <c r="X56" s="312" t="s">
        <v>832</v>
      </c>
      <c r="Y56" s="312" t="s">
        <v>837</v>
      </c>
    </row>
    <row r="57" spans="3:43" x14ac:dyDescent="0.25">
      <c r="E57" s="100"/>
      <c r="F57" s="90" t="s">
        <v>156</v>
      </c>
      <c r="G57" s="90" t="s">
        <v>167</v>
      </c>
      <c r="H57" s="236"/>
      <c r="I57" s="90"/>
      <c r="J57" s="202">
        <f>'Volume adjustments'!J315</f>
        <v>0.4003457929697154</v>
      </c>
      <c r="K57" s="202">
        <f>'Volume adjustments'!K315</f>
        <v>0.4003457929697154</v>
      </c>
      <c r="L57" s="202">
        <f>'Volume adjustments'!L315</f>
        <v>0.4003457929697154</v>
      </c>
      <c r="M57" s="202">
        <f>'Volume adjustments'!M315</f>
        <v>0.4003457929697154</v>
      </c>
      <c r="N57" s="202">
        <f>'Volume adjustments'!N315</f>
        <v>0.4003457929697154</v>
      </c>
      <c r="O57" s="202">
        <f>'Volume adjustments'!O315</f>
        <v>0</v>
      </c>
      <c r="P57" s="202">
        <f>'Volume adjustments'!P315</f>
        <v>0</v>
      </c>
      <c r="Q57" s="202">
        <f>'Volume adjustments'!Q315</f>
        <v>0.4003457929697154</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157</v>
      </c>
      <c r="G58" t="s">
        <v>167</v>
      </c>
      <c r="H58" s="63"/>
      <c r="J58" s="203">
        <f>'Volume adjustments'!J316</f>
        <v>0.4003457929697154</v>
      </c>
      <c r="K58" s="203">
        <f>'Volume adjustments'!K316</f>
        <v>0.4003457929697154</v>
      </c>
      <c r="L58" s="203">
        <f>'Volume adjustments'!L316</f>
        <v>0.4003457929697154</v>
      </c>
      <c r="M58" s="203">
        <f>'Volume adjustments'!M316</f>
        <v>0.4003457929697154</v>
      </c>
      <c r="N58" s="203">
        <f>'Volume adjustments'!N316</f>
        <v>0.4003457929697154</v>
      </c>
      <c r="O58" s="203">
        <f>'Volume adjustments'!O316</f>
        <v>0</v>
      </c>
      <c r="P58" s="203">
        <f>'Volume adjustments'!P316</f>
        <v>0</v>
      </c>
      <c r="Q58" s="203">
        <f>'Volume adjustments'!Q316</f>
        <v>0.4003457929697154</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158</v>
      </c>
      <c r="G59" t="s">
        <v>167</v>
      </c>
      <c r="H59" s="63"/>
      <c r="J59" s="203">
        <f>'Volume adjustments'!J317</f>
        <v>0.4003457929697154</v>
      </c>
      <c r="K59" s="203">
        <f>'Volume adjustments'!K317</f>
        <v>0.4003457929697154</v>
      </c>
      <c r="L59" s="203">
        <f>'Volume adjustments'!L317</f>
        <v>0.4003457929697154</v>
      </c>
      <c r="M59" s="203">
        <f>'Volume adjustments'!M317</f>
        <v>0.4003457929697154</v>
      </c>
      <c r="N59" s="203">
        <f>'Volume adjustments'!N317</f>
        <v>0.4003457929697154</v>
      </c>
      <c r="O59" s="203">
        <f>'Volume adjustments'!O317</f>
        <v>0</v>
      </c>
      <c r="P59" s="203">
        <f>'Volume adjustments'!P317</f>
        <v>0</v>
      </c>
      <c r="Q59" s="203">
        <f>'Volume adjustments'!Q317</f>
        <v>0.4003457929697154</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159</v>
      </c>
      <c r="G60" t="s">
        <v>167</v>
      </c>
      <c r="H60" s="63"/>
      <c r="J60" s="203">
        <f>'Volume adjustments'!J318</f>
        <v>0.4003457929697154</v>
      </c>
      <c r="K60" s="203">
        <f>'Volume adjustments'!K318</f>
        <v>0.4003457929697154</v>
      </c>
      <c r="L60" s="203">
        <f>'Volume adjustments'!L318</f>
        <v>0.4003457929697154</v>
      </c>
      <c r="M60" s="203">
        <f>'Volume adjustments'!M318</f>
        <v>0.4003457929697154</v>
      </c>
      <c r="N60" s="203">
        <f>'Volume adjustments'!N318</f>
        <v>0.4003457929697154</v>
      </c>
      <c r="O60" s="203">
        <f>'Volume adjustments'!O318</f>
        <v>0</v>
      </c>
      <c r="P60" s="203">
        <f>'Volume adjustments'!P318</f>
        <v>0</v>
      </c>
      <c r="Q60" s="203">
        <f>'Volume adjustments'!Q318</f>
        <v>0.4003457929697154</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160</v>
      </c>
      <c r="G61" t="s">
        <v>167</v>
      </c>
      <c r="H61" s="63"/>
      <c r="J61" s="203">
        <f>'Volume adjustments'!J319</f>
        <v>0.4003457929697154</v>
      </c>
      <c r="K61" s="203">
        <f>'Volume adjustments'!K319</f>
        <v>0.4003457929697154</v>
      </c>
      <c r="L61" s="203">
        <f>'Volume adjustments'!L319</f>
        <v>0.4003457929697154</v>
      </c>
      <c r="M61" s="203">
        <f>'Volume adjustments'!M319</f>
        <v>0.4003457929697154</v>
      </c>
      <c r="N61" s="203">
        <f>'Volume adjustments'!N319</f>
        <v>0.4003457929697154</v>
      </c>
      <c r="O61" s="203">
        <f>'Volume adjustments'!O319</f>
        <v>0</v>
      </c>
      <c r="P61" s="203">
        <f>'Volume adjustments'!P319</f>
        <v>0</v>
      </c>
      <c r="Q61" s="203">
        <f>'Volume adjustments'!Q319</f>
        <v>0.4003457929697154</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161</v>
      </c>
      <c r="G62" t="s">
        <v>167</v>
      </c>
      <c r="H62" s="63"/>
      <c r="J62" s="203">
        <f>'Volume adjustments'!J320</f>
        <v>0.4003457929697154</v>
      </c>
      <c r="K62" s="203">
        <f>'Volume adjustments'!K320</f>
        <v>0.4003457929697154</v>
      </c>
      <c r="L62" s="203">
        <f>'Volume adjustments'!L320</f>
        <v>0.4003457929697154</v>
      </c>
      <c r="M62" s="203">
        <f>'Volume adjustments'!M320</f>
        <v>0.4003457929697154</v>
      </c>
      <c r="N62" s="203">
        <f>'Volume adjustments'!N320</f>
        <v>0.4003457929697154</v>
      </c>
      <c r="O62" s="203">
        <f>'Volume adjustments'!O320</f>
        <v>0</v>
      </c>
      <c r="P62" s="203">
        <f>'Volume adjustments'!P320</f>
        <v>0</v>
      </c>
      <c r="Q62" s="203">
        <f>'Volume adjustments'!Q320</f>
        <v>0.4003457929697154</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162</v>
      </c>
      <c r="G63" s="91" t="s">
        <v>167</v>
      </c>
      <c r="H63" s="296"/>
      <c r="I63" s="91"/>
      <c r="J63" s="204">
        <f>'Volume adjustments'!J321</f>
        <v>0.4003457929697154</v>
      </c>
      <c r="K63" s="204">
        <f>'Volume adjustments'!K321</f>
        <v>0.4003457929697154</v>
      </c>
      <c r="L63" s="204">
        <f>'Volume adjustments'!L321</f>
        <v>0.4003457929697154</v>
      </c>
      <c r="M63" s="204">
        <f>'Volume adjustments'!M321</f>
        <v>0.4003457929697154</v>
      </c>
      <c r="N63" s="204">
        <f>'Volume adjustments'!N321</f>
        <v>0.4003457929697154</v>
      </c>
      <c r="O63" s="204">
        <f>'Volume adjustments'!O321</f>
        <v>0</v>
      </c>
      <c r="P63" s="204">
        <f>'Volume adjustments'!P321</f>
        <v>0</v>
      </c>
      <c r="Q63" s="204">
        <f>'Volume adjustments'!Q321</f>
        <v>0.4003457929697154</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747</v>
      </c>
      <c r="I65" t="s">
        <v>154</v>
      </c>
      <c r="J65" s="312" t="s">
        <v>1159</v>
      </c>
      <c r="K65" s="312" t="s">
        <v>826</v>
      </c>
      <c r="L65" s="312" t="s">
        <v>1160</v>
      </c>
      <c r="M65" s="312" t="s">
        <v>827</v>
      </c>
      <c r="N65" s="312" t="s">
        <v>833</v>
      </c>
      <c r="O65" s="312" t="s">
        <v>834</v>
      </c>
      <c r="P65" s="312" t="s">
        <v>835</v>
      </c>
      <c r="Q65" s="312" t="s">
        <v>836</v>
      </c>
      <c r="R65" s="312" t="s">
        <v>828</v>
      </c>
      <c r="S65" s="312" t="s">
        <v>829</v>
      </c>
      <c r="T65" s="312" t="s">
        <v>830</v>
      </c>
      <c r="U65" s="312" t="s">
        <v>839</v>
      </c>
      <c r="V65" s="312" t="s">
        <v>831</v>
      </c>
      <c r="W65" s="312" t="s">
        <v>838</v>
      </c>
      <c r="X65" s="312" t="s">
        <v>832</v>
      </c>
      <c r="Y65" s="312" t="s">
        <v>837</v>
      </c>
    </row>
    <row r="66" spans="4:43" x14ac:dyDescent="0.25">
      <c r="E66" s="100"/>
      <c r="F66" s="90" t="s">
        <v>156</v>
      </c>
      <c r="G66" s="90" t="s">
        <v>167</v>
      </c>
      <c r="H66" s="236"/>
      <c r="I66" s="90"/>
      <c r="J66" s="202">
        <f>'Volume adjustments'!J324</f>
        <v>0.60435784445160401</v>
      </c>
      <c r="K66" s="202">
        <f>'Volume adjustments'!K324</f>
        <v>0.60435784445160401</v>
      </c>
      <c r="L66" s="202">
        <f>'Volume adjustments'!L324</f>
        <v>0.60435784445160401</v>
      </c>
      <c r="M66" s="202">
        <f>'Volume adjustments'!M324</f>
        <v>0.60435784445160401</v>
      </c>
      <c r="N66" s="202">
        <f>'Volume adjustments'!N324</f>
        <v>0.60435784445160401</v>
      </c>
      <c r="O66" s="202">
        <f>'Volume adjustments'!O324</f>
        <v>0.33898658826357436</v>
      </c>
      <c r="P66" s="202">
        <f>'Volume adjustments'!P324</f>
        <v>0.24054198685119213</v>
      </c>
      <c r="Q66" s="202">
        <f>'Volume adjustments'!Q324</f>
        <v>0.60435784445160401</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157</v>
      </c>
      <c r="G67" t="s">
        <v>167</v>
      </c>
      <c r="H67" s="63"/>
      <c r="J67" s="203">
        <f>'Volume adjustments'!J325</f>
        <v>0.60435784445160401</v>
      </c>
      <c r="K67" s="203">
        <f>'Volume adjustments'!K325</f>
        <v>0.60435784445160401</v>
      </c>
      <c r="L67" s="203">
        <f>'Volume adjustments'!L325</f>
        <v>0.60435784445160401</v>
      </c>
      <c r="M67" s="203">
        <f>'Volume adjustments'!M325</f>
        <v>0.60435784445160401</v>
      </c>
      <c r="N67" s="203">
        <f>'Volume adjustments'!N325</f>
        <v>0.60435784445160401</v>
      </c>
      <c r="O67" s="203">
        <f>'Volume adjustments'!O325</f>
        <v>0.33898658826357436</v>
      </c>
      <c r="P67" s="203">
        <f>'Volume adjustments'!P325</f>
        <v>0.24054198685119213</v>
      </c>
      <c r="Q67" s="203">
        <f>'Volume adjustments'!Q325</f>
        <v>0.60435784445160401</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158</v>
      </c>
      <c r="G68" t="s">
        <v>167</v>
      </c>
      <c r="H68" s="63"/>
      <c r="J68" s="203">
        <f>'Volume adjustments'!J326</f>
        <v>0.60435784445160401</v>
      </c>
      <c r="K68" s="203">
        <f>'Volume adjustments'!K326</f>
        <v>0.60435784445160401</v>
      </c>
      <c r="L68" s="203">
        <f>'Volume adjustments'!L326</f>
        <v>0.60435784445160401</v>
      </c>
      <c r="M68" s="203">
        <f>'Volume adjustments'!M326</f>
        <v>0.60435784445160401</v>
      </c>
      <c r="N68" s="203">
        <f>'Volume adjustments'!N326</f>
        <v>0.60435784445160401</v>
      </c>
      <c r="O68" s="203">
        <f>'Volume adjustments'!O326</f>
        <v>0.33898658826357436</v>
      </c>
      <c r="P68" s="203">
        <f>'Volume adjustments'!P326</f>
        <v>0.24054198685119213</v>
      </c>
      <c r="Q68" s="203">
        <f>'Volume adjustments'!Q326</f>
        <v>0.60435784445160401</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159</v>
      </c>
      <c r="G69" t="s">
        <v>167</v>
      </c>
      <c r="H69" s="63"/>
      <c r="J69" s="203">
        <f>'Volume adjustments'!J327</f>
        <v>0.60435784445160401</v>
      </c>
      <c r="K69" s="203">
        <f>'Volume adjustments'!K327</f>
        <v>0.60435784445160401</v>
      </c>
      <c r="L69" s="203">
        <f>'Volume adjustments'!L327</f>
        <v>0.60435784445160401</v>
      </c>
      <c r="M69" s="203">
        <f>'Volume adjustments'!M327</f>
        <v>0.60435784445160401</v>
      </c>
      <c r="N69" s="203">
        <f>'Volume adjustments'!N327</f>
        <v>0.60435784445160401</v>
      </c>
      <c r="O69" s="203">
        <f>'Volume adjustments'!O327</f>
        <v>0.33898658826357436</v>
      </c>
      <c r="P69" s="203">
        <f>'Volume adjustments'!P327</f>
        <v>0.24054198685119213</v>
      </c>
      <c r="Q69" s="203">
        <f>'Volume adjustments'!Q327</f>
        <v>0.60435784445160401</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160</v>
      </c>
      <c r="G70" t="s">
        <v>167</v>
      </c>
      <c r="H70" s="63"/>
      <c r="J70" s="203">
        <f>'Volume adjustments'!J328</f>
        <v>0.60435784445160401</v>
      </c>
      <c r="K70" s="203">
        <f>'Volume adjustments'!K328</f>
        <v>0.60435784445160401</v>
      </c>
      <c r="L70" s="203">
        <f>'Volume adjustments'!L328</f>
        <v>0.60435784445160401</v>
      </c>
      <c r="M70" s="203">
        <f>'Volume adjustments'!M328</f>
        <v>0.60435784445160401</v>
      </c>
      <c r="N70" s="203">
        <f>'Volume adjustments'!N328</f>
        <v>0.60435784445160401</v>
      </c>
      <c r="O70" s="203">
        <f>'Volume adjustments'!O328</f>
        <v>0.33898658826357436</v>
      </c>
      <c r="P70" s="203">
        <f>'Volume adjustments'!P328</f>
        <v>0.24054198685119213</v>
      </c>
      <c r="Q70" s="203">
        <f>'Volume adjustments'!Q328</f>
        <v>0.60435784445160401</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161</v>
      </c>
      <c r="G71" t="s">
        <v>167</v>
      </c>
      <c r="H71" s="63"/>
      <c r="J71" s="203">
        <f>'Volume adjustments'!J329</f>
        <v>0.60435784445160401</v>
      </c>
      <c r="K71" s="203">
        <f>'Volume adjustments'!K329</f>
        <v>0.60435784445160401</v>
      </c>
      <c r="L71" s="203">
        <f>'Volume adjustments'!L329</f>
        <v>0.60435784445160401</v>
      </c>
      <c r="M71" s="203">
        <f>'Volume adjustments'!M329</f>
        <v>0.60435784445160401</v>
      </c>
      <c r="N71" s="203">
        <f>'Volume adjustments'!N329</f>
        <v>0.60435784445160401</v>
      </c>
      <c r="O71" s="203">
        <f>'Volume adjustments'!O329</f>
        <v>0.33898658826357436</v>
      </c>
      <c r="P71" s="203">
        <f>'Volume adjustments'!P329</f>
        <v>0.24054198685119213</v>
      </c>
      <c r="Q71" s="203">
        <f>'Volume adjustments'!Q329</f>
        <v>0.60435784445160401</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162</v>
      </c>
      <c r="G72" s="91" t="s">
        <v>167</v>
      </c>
      <c r="H72" s="296"/>
      <c r="I72" s="91"/>
      <c r="J72" s="204">
        <f>'Volume adjustments'!J330</f>
        <v>0.60435784445160401</v>
      </c>
      <c r="K72" s="204">
        <f>'Volume adjustments'!K330</f>
        <v>0.60435784445160401</v>
      </c>
      <c r="L72" s="204">
        <f>'Volume adjustments'!L330</f>
        <v>0.60435784445160401</v>
      </c>
      <c r="M72" s="204">
        <f>'Volume adjustments'!M330</f>
        <v>0.60435784445160401</v>
      </c>
      <c r="N72" s="204">
        <f>'Volume adjustments'!N330</f>
        <v>0.60435784445160401</v>
      </c>
      <c r="O72" s="204">
        <f>'Volume adjustments'!O330</f>
        <v>0.33898658826357436</v>
      </c>
      <c r="P72" s="204">
        <f>'Volume adjustments'!P330</f>
        <v>0.24054198685119213</v>
      </c>
      <c r="Q72" s="204">
        <f>'Volume adjustments'!Q330</f>
        <v>0.60435784445160401</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746</v>
      </c>
      <c r="I74" t="s">
        <v>154</v>
      </c>
      <c r="AQ74" t="s">
        <v>426</v>
      </c>
    </row>
    <row r="75" spans="4:43" x14ac:dyDescent="0.25">
      <c r="D75"/>
      <c r="E75" s="100"/>
      <c r="F75" s="90" t="s">
        <v>156</v>
      </c>
      <c r="G75" s="90" t="s">
        <v>167</v>
      </c>
      <c r="H75" s="236"/>
      <c r="I75" s="90"/>
      <c r="J75" s="196">
        <f>INDEX($J57:$Y57,J$54)</f>
        <v>0.4003457929697154</v>
      </c>
      <c r="K75" s="196">
        <f t="shared" ref="K75:AO75" si="0">INDEX($J57:$Y57,K$54)</f>
        <v>0.4003457929697154</v>
      </c>
      <c r="L75" s="196">
        <f t="shared" si="0"/>
        <v>0.4003457929697154</v>
      </c>
      <c r="M75" s="196">
        <f t="shared" si="0"/>
        <v>0.4003457929697154</v>
      </c>
      <c r="N75" s="196">
        <f t="shared" si="0"/>
        <v>0.4003457929697154</v>
      </c>
      <c r="O75" s="196">
        <f t="shared" si="0"/>
        <v>0.4003457929697154</v>
      </c>
      <c r="P75" s="196">
        <f t="shared" si="0"/>
        <v>0.4003457929697154</v>
      </c>
      <c r="Q75" s="196">
        <f t="shared" si="0"/>
        <v>0.4003457929697154</v>
      </c>
      <c r="R75" s="196">
        <f t="shared" si="0"/>
        <v>0.4003457929697154</v>
      </c>
      <c r="S75" s="196">
        <f t="shared" si="0"/>
        <v>0.4003457929697154</v>
      </c>
      <c r="T75" s="196">
        <f t="shared" si="0"/>
        <v>0.4003457929697154</v>
      </c>
      <c r="U75" s="196">
        <f t="shared" si="0"/>
        <v>0.4003457929697154</v>
      </c>
      <c r="V75" s="196">
        <f t="shared" si="0"/>
        <v>0.4003457929697154</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0.4003457929697154</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157</v>
      </c>
      <c r="G76" t="s">
        <v>167</v>
      </c>
      <c r="H76" s="63"/>
      <c r="J76" s="188">
        <f t="shared" ref="J76:AO76" si="1">INDEX($J58:$Y58,J$54)</f>
        <v>0.4003457929697154</v>
      </c>
      <c r="K76" s="188">
        <f t="shared" si="1"/>
        <v>0.4003457929697154</v>
      </c>
      <c r="L76" s="188">
        <f t="shared" si="1"/>
        <v>0.4003457929697154</v>
      </c>
      <c r="M76" s="188">
        <f t="shared" si="1"/>
        <v>0.4003457929697154</v>
      </c>
      <c r="N76" s="188">
        <f t="shared" si="1"/>
        <v>0.4003457929697154</v>
      </c>
      <c r="O76" s="188">
        <f t="shared" si="1"/>
        <v>0.4003457929697154</v>
      </c>
      <c r="P76" s="188">
        <f t="shared" si="1"/>
        <v>0.4003457929697154</v>
      </c>
      <c r="Q76" s="188">
        <f t="shared" si="1"/>
        <v>0.4003457929697154</v>
      </c>
      <c r="R76" s="188">
        <f t="shared" si="1"/>
        <v>0.4003457929697154</v>
      </c>
      <c r="S76" s="188">
        <f t="shared" si="1"/>
        <v>0.4003457929697154</v>
      </c>
      <c r="T76" s="188">
        <f t="shared" si="1"/>
        <v>0.4003457929697154</v>
      </c>
      <c r="U76" s="188">
        <f t="shared" si="1"/>
        <v>0.4003457929697154</v>
      </c>
      <c r="V76" s="188">
        <f t="shared" si="1"/>
        <v>0.4003457929697154</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0.4003457929697154</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158</v>
      </c>
      <c r="G77" t="s">
        <v>167</v>
      </c>
      <c r="H77" s="63"/>
      <c r="J77" s="188">
        <f t="shared" ref="J77:AO77" si="2">INDEX($J59:$Y59,J$54)</f>
        <v>0.4003457929697154</v>
      </c>
      <c r="K77" s="188">
        <f t="shared" si="2"/>
        <v>0.4003457929697154</v>
      </c>
      <c r="L77" s="188">
        <f t="shared" si="2"/>
        <v>0.4003457929697154</v>
      </c>
      <c r="M77" s="188">
        <f t="shared" si="2"/>
        <v>0.4003457929697154</v>
      </c>
      <c r="N77" s="188">
        <f t="shared" si="2"/>
        <v>0.4003457929697154</v>
      </c>
      <c r="O77" s="188">
        <f t="shared" si="2"/>
        <v>0.4003457929697154</v>
      </c>
      <c r="P77" s="188">
        <f t="shared" si="2"/>
        <v>0.4003457929697154</v>
      </c>
      <c r="Q77" s="188">
        <f t="shared" si="2"/>
        <v>0.4003457929697154</v>
      </c>
      <c r="R77" s="188">
        <f t="shared" si="2"/>
        <v>0.4003457929697154</v>
      </c>
      <c r="S77" s="188">
        <f t="shared" si="2"/>
        <v>0.4003457929697154</v>
      </c>
      <c r="T77" s="188">
        <f t="shared" si="2"/>
        <v>0.4003457929697154</v>
      </c>
      <c r="U77" s="188">
        <f t="shared" si="2"/>
        <v>0.4003457929697154</v>
      </c>
      <c r="V77" s="188">
        <f t="shared" si="2"/>
        <v>0.4003457929697154</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0.4003457929697154</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159</v>
      </c>
      <c r="G78" t="s">
        <v>167</v>
      </c>
      <c r="H78" s="63"/>
      <c r="J78" s="188">
        <f t="shared" ref="J78:AO78" si="3">INDEX($J60:$Y60,J$54)</f>
        <v>0.4003457929697154</v>
      </c>
      <c r="K78" s="188">
        <f t="shared" si="3"/>
        <v>0.4003457929697154</v>
      </c>
      <c r="L78" s="188">
        <f t="shared" si="3"/>
        <v>0.4003457929697154</v>
      </c>
      <c r="M78" s="188">
        <f t="shared" si="3"/>
        <v>0.4003457929697154</v>
      </c>
      <c r="N78" s="188">
        <f t="shared" si="3"/>
        <v>0.4003457929697154</v>
      </c>
      <c r="O78" s="188">
        <f t="shared" si="3"/>
        <v>0.4003457929697154</v>
      </c>
      <c r="P78" s="188">
        <f t="shared" si="3"/>
        <v>0.4003457929697154</v>
      </c>
      <c r="Q78" s="188">
        <f t="shared" si="3"/>
        <v>0.4003457929697154</v>
      </c>
      <c r="R78" s="188">
        <f t="shared" si="3"/>
        <v>0.4003457929697154</v>
      </c>
      <c r="S78" s="188">
        <f t="shared" si="3"/>
        <v>0.4003457929697154</v>
      </c>
      <c r="T78" s="188">
        <f t="shared" si="3"/>
        <v>0.4003457929697154</v>
      </c>
      <c r="U78" s="188">
        <f t="shared" si="3"/>
        <v>0.4003457929697154</v>
      </c>
      <c r="V78" s="188">
        <f t="shared" si="3"/>
        <v>0.4003457929697154</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0.4003457929697154</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160</v>
      </c>
      <c r="G79" t="s">
        <v>167</v>
      </c>
      <c r="H79" s="63"/>
      <c r="J79" s="188">
        <f t="shared" ref="J79:AO79" si="4">INDEX($J61:$Y61,J$54)</f>
        <v>0.4003457929697154</v>
      </c>
      <c r="K79" s="188">
        <f t="shared" si="4"/>
        <v>0.4003457929697154</v>
      </c>
      <c r="L79" s="188">
        <f t="shared" si="4"/>
        <v>0.4003457929697154</v>
      </c>
      <c r="M79" s="188">
        <f t="shared" si="4"/>
        <v>0.4003457929697154</v>
      </c>
      <c r="N79" s="188">
        <f t="shared" si="4"/>
        <v>0.4003457929697154</v>
      </c>
      <c r="O79" s="188">
        <f t="shared" si="4"/>
        <v>0.4003457929697154</v>
      </c>
      <c r="P79" s="188">
        <f t="shared" si="4"/>
        <v>0.4003457929697154</v>
      </c>
      <c r="Q79" s="188">
        <f t="shared" si="4"/>
        <v>0.4003457929697154</v>
      </c>
      <c r="R79" s="188">
        <f t="shared" si="4"/>
        <v>0.4003457929697154</v>
      </c>
      <c r="S79" s="188">
        <f t="shared" si="4"/>
        <v>0.4003457929697154</v>
      </c>
      <c r="T79" s="188">
        <f t="shared" si="4"/>
        <v>0.4003457929697154</v>
      </c>
      <c r="U79" s="188">
        <f t="shared" si="4"/>
        <v>0.4003457929697154</v>
      </c>
      <c r="V79" s="188">
        <f t="shared" si="4"/>
        <v>0.4003457929697154</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0.4003457929697154</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161</v>
      </c>
      <c r="G80" t="s">
        <v>167</v>
      </c>
      <c r="H80" s="63"/>
      <c r="J80" s="188">
        <f t="shared" ref="J80:AO80" si="5">INDEX($J62:$Y62,J$54)</f>
        <v>0.4003457929697154</v>
      </c>
      <c r="K80" s="188">
        <f t="shared" si="5"/>
        <v>0.4003457929697154</v>
      </c>
      <c r="L80" s="188">
        <f t="shared" si="5"/>
        <v>0.4003457929697154</v>
      </c>
      <c r="M80" s="188">
        <f t="shared" si="5"/>
        <v>0.4003457929697154</v>
      </c>
      <c r="N80" s="188">
        <f t="shared" si="5"/>
        <v>0.4003457929697154</v>
      </c>
      <c r="O80" s="188">
        <f t="shared" si="5"/>
        <v>0.4003457929697154</v>
      </c>
      <c r="P80" s="188">
        <f t="shared" si="5"/>
        <v>0.4003457929697154</v>
      </c>
      <c r="Q80" s="188">
        <f t="shared" si="5"/>
        <v>0.4003457929697154</v>
      </c>
      <c r="R80" s="188">
        <f t="shared" si="5"/>
        <v>0.4003457929697154</v>
      </c>
      <c r="S80" s="188">
        <f t="shared" si="5"/>
        <v>0.4003457929697154</v>
      </c>
      <c r="T80" s="188">
        <f t="shared" si="5"/>
        <v>0.4003457929697154</v>
      </c>
      <c r="U80" s="188">
        <f t="shared" si="5"/>
        <v>0.4003457929697154</v>
      </c>
      <c r="V80" s="188">
        <f t="shared" si="5"/>
        <v>0.4003457929697154</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0.4003457929697154</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162</v>
      </c>
      <c r="G81" s="91" t="s">
        <v>167</v>
      </c>
      <c r="H81" s="296"/>
      <c r="I81" s="91"/>
      <c r="J81" s="197">
        <f t="shared" ref="J81:AO81" si="6">INDEX($J63:$Y63,J$54)</f>
        <v>0.4003457929697154</v>
      </c>
      <c r="K81" s="197">
        <f t="shared" si="6"/>
        <v>0.4003457929697154</v>
      </c>
      <c r="L81" s="197">
        <f t="shared" si="6"/>
        <v>0.4003457929697154</v>
      </c>
      <c r="M81" s="197">
        <f t="shared" si="6"/>
        <v>0.4003457929697154</v>
      </c>
      <c r="N81" s="197">
        <f t="shared" si="6"/>
        <v>0.4003457929697154</v>
      </c>
      <c r="O81" s="197">
        <f t="shared" si="6"/>
        <v>0.4003457929697154</v>
      </c>
      <c r="P81" s="197">
        <f t="shared" si="6"/>
        <v>0.4003457929697154</v>
      </c>
      <c r="Q81" s="197">
        <f t="shared" si="6"/>
        <v>0.4003457929697154</v>
      </c>
      <c r="R81" s="197">
        <f t="shared" si="6"/>
        <v>0.4003457929697154</v>
      </c>
      <c r="S81" s="197">
        <f t="shared" si="6"/>
        <v>0.4003457929697154</v>
      </c>
      <c r="T81" s="197">
        <f t="shared" si="6"/>
        <v>0.4003457929697154</v>
      </c>
      <c r="U81" s="197">
        <f t="shared" si="6"/>
        <v>0.4003457929697154</v>
      </c>
      <c r="V81" s="197">
        <f t="shared" si="6"/>
        <v>0.4003457929697154</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0.4003457929697154</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747</v>
      </c>
      <c r="I83" t="s">
        <v>154</v>
      </c>
      <c r="AQ83" t="s">
        <v>426</v>
      </c>
    </row>
    <row r="84" spans="3:43" x14ac:dyDescent="0.25">
      <c r="D84"/>
      <c r="E84" s="100"/>
      <c r="F84" s="90" t="s">
        <v>156</v>
      </c>
      <c r="G84" s="90" t="s">
        <v>167</v>
      </c>
      <c r="H84" s="236"/>
      <c r="I84" s="90"/>
      <c r="J84" s="196">
        <f>INDEX($J66:$Y66,J$54)</f>
        <v>0.60435784445160401</v>
      </c>
      <c r="K84" s="196">
        <f t="shared" ref="K84:AO84" si="7">INDEX($J66:$Y66,K$54)</f>
        <v>0.60435784445160401</v>
      </c>
      <c r="L84" s="196">
        <f t="shared" si="7"/>
        <v>0.60435784445160401</v>
      </c>
      <c r="M84" s="196">
        <f t="shared" si="7"/>
        <v>0.60435784445160401</v>
      </c>
      <c r="N84" s="196">
        <f t="shared" si="7"/>
        <v>0.60435784445160401</v>
      </c>
      <c r="O84" s="196">
        <f t="shared" si="7"/>
        <v>0.60435784445160401</v>
      </c>
      <c r="P84" s="196">
        <f t="shared" si="7"/>
        <v>0.60435784445160401</v>
      </c>
      <c r="Q84" s="196">
        <f t="shared" si="7"/>
        <v>0.60435784445160401</v>
      </c>
      <c r="R84" s="196">
        <f t="shared" si="7"/>
        <v>0.60435784445160401</v>
      </c>
      <c r="S84" s="196">
        <f t="shared" si="7"/>
        <v>0.60435784445160401</v>
      </c>
      <c r="T84" s="196">
        <f t="shared" si="7"/>
        <v>0.60435784445160401</v>
      </c>
      <c r="U84" s="196">
        <f t="shared" si="7"/>
        <v>0.60435784445160401</v>
      </c>
      <c r="V84" s="196">
        <f t="shared" si="7"/>
        <v>0.60435784445160401</v>
      </c>
      <c r="W84" s="196">
        <f t="shared" si="7"/>
        <v>0.33898658826357436</v>
      </c>
      <c r="X84" s="196">
        <f t="shared" si="7"/>
        <v>0.33898658826357436</v>
      </c>
      <c r="Y84" s="196">
        <f t="shared" si="7"/>
        <v>0.33898658826357436</v>
      </c>
      <c r="Z84" s="196">
        <f t="shared" si="7"/>
        <v>0.33898658826357436</v>
      </c>
      <c r="AA84" s="196">
        <f t="shared" si="7"/>
        <v>0.33898658826357436</v>
      </c>
      <c r="AB84" s="196">
        <f t="shared" si="7"/>
        <v>0.24054198685119213</v>
      </c>
      <c r="AC84" s="196">
        <f t="shared" si="7"/>
        <v>0.24054198685119213</v>
      </c>
      <c r="AD84" s="196">
        <f t="shared" si="7"/>
        <v>0.24054198685119213</v>
      </c>
      <c r="AE84" s="196">
        <f t="shared" si="7"/>
        <v>0.24054198685119213</v>
      </c>
      <c r="AF84" s="196">
        <f t="shared" si="7"/>
        <v>0.24054198685119213</v>
      </c>
      <c r="AG84" s="196">
        <f t="shared" si="7"/>
        <v>0.60435784445160401</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157</v>
      </c>
      <c r="G85" t="s">
        <v>167</v>
      </c>
      <c r="H85" s="63"/>
      <c r="J85" s="188">
        <f t="shared" ref="J85:AO85" si="8">INDEX($J67:$Y67,J$54)</f>
        <v>0.60435784445160401</v>
      </c>
      <c r="K85" s="188">
        <f t="shared" si="8"/>
        <v>0.60435784445160401</v>
      </c>
      <c r="L85" s="188">
        <f t="shared" si="8"/>
        <v>0.60435784445160401</v>
      </c>
      <c r="M85" s="188">
        <f t="shared" si="8"/>
        <v>0.60435784445160401</v>
      </c>
      <c r="N85" s="188">
        <f t="shared" si="8"/>
        <v>0.60435784445160401</v>
      </c>
      <c r="O85" s="188">
        <f t="shared" si="8"/>
        <v>0.60435784445160401</v>
      </c>
      <c r="P85" s="188">
        <f t="shared" si="8"/>
        <v>0.60435784445160401</v>
      </c>
      <c r="Q85" s="188">
        <f t="shared" si="8"/>
        <v>0.60435784445160401</v>
      </c>
      <c r="R85" s="188">
        <f t="shared" si="8"/>
        <v>0.60435784445160401</v>
      </c>
      <c r="S85" s="188">
        <f t="shared" si="8"/>
        <v>0.60435784445160401</v>
      </c>
      <c r="T85" s="188">
        <f t="shared" si="8"/>
        <v>0.60435784445160401</v>
      </c>
      <c r="U85" s="188">
        <f t="shared" si="8"/>
        <v>0.60435784445160401</v>
      </c>
      <c r="V85" s="188">
        <f t="shared" si="8"/>
        <v>0.60435784445160401</v>
      </c>
      <c r="W85" s="188">
        <f t="shared" si="8"/>
        <v>0.33898658826357436</v>
      </c>
      <c r="X85" s="188">
        <f t="shared" si="8"/>
        <v>0.33898658826357436</v>
      </c>
      <c r="Y85" s="188">
        <f t="shared" si="8"/>
        <v>0.33898658826357436</v>
      </c>
      <c r="Z85" s="188">
        <f t="shared" si="8"/>
        <v>0.33898658826357436</v>
      </c>
      <c r="AA85" s="188">
        <f t="shared" si="8"/>
        <v>0.33898658826357436</v>
      </c>
      <c r="AB85" s="188">
        <f t="shared" si="8"/>
        <v>0.24054198685119213</v>
      </c>
      <c r="AC85" s="188">
        <f t="shared" si="8"/>
        <v>0.24054198685119213</v>
      </c>
      <c r="AD85" s="188">
        <f t="shared" si="8"/>
        <v>0.24054198685119213</v>
      </c>
      <c r="AE85" s="188">
        <f t="shared" si="8"/>
        <v>0.24054198685119213</v>
      </c>
      <c r="AF85" s="188">
        <f t="shared" si="8"/>
        <v>0.24054198685119213</v>
      </c>
      <c r="AG85" s="188">
        <f t="shared" si="8"/>
        <v>0.60435784445160401</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158</v>
      </c>
      <c r="G86" t="s">
        <v>167</v>
      </c>
      <c r="H86" s="63"/>
      <c r="J86" s="188">
        <f t="shared" ref="J86:AO86" si="9">INDEX($J68:$Y68,J$54)</f>
        <v>0.60435784445160401</v>
      </c>
      <c r="K86" s="188">
        <f t="shared" si="9"/>
        <v>0.60435784445160401</v>
      </c>
      <c r="L86" s="188">
        <f t="shared" si="9"/>
        <v>0.60435784445160401</v>
      </c>
      <c r="M86" s="188">
        <f t="shared" si="9"/>
        <v>0.60435784445160401</v>
      </c>
      <c r="N86" s="188">
        <f t="shared" si="9"/>
        <v>0.60435784445160401</v>
      </c>
      <c r="O86" s="188">
        <f t="shared" si="9"/>
        <v>0.60435784445160401</v>
      </c>
      <c r="P86" s="188">
        <f t="shared" si="9"/>
        <v>0.60435784445160401</v>
      </c>
      <c r="Q86" s="188">
        <f t="shared" si="9"/>
        <v>0.60435784445160401</v>
      </c>
      <c r="R86" s="188">
        <f t="shared" si="9"/>
        <v>0.60435784445160401</v>
      </c>
      <c r="S86" s="188">
        <f t="shared" si="9"/>
        <v>0.60435784445160401</v>
      </c>
      <c r="T86" s="188">
        <f t="shared" si="9"/>
        <v>0.60435784445160401</v>
      </c>
      <c r="U86" s="188">
        <f t="shared" si="9"/>
        <v>0.60435784445160401</v>
      </c>
      <c r="V86" s="188">
        <f t="shared" si="9"/>
        <v>0.60435784445160401</v>
      </c>
      <c r="W86" s="188">
        <f t="shared" si="9"/>
        <v>0.33898658826357436</v>
      </c>
      <c r="X86" s="188">
        <f t="shared" si="9"/>
        <v>0.33898658826357436</v>
      </c>
      <c r="Y86" s="188">
        <f t="shared" si="9"/>
        <v>0.33898658826357436</v>
      </c>
      <c r="Z86" s="188">
        <f t="shared" si="9"/>
        <v>0.33898658826357436</v>
      </c>
      <c r="AA86" s="188">
        <f t="shared" si="9"/>
        <v>0.33898658826357436</v>
      </c>
      <c r="AB86" s="188">
        <f t="shared" si="9"/>
        <v>0.24054198685119213</v>
      </c>
      <c r="AC86" s="188">
        <f t="shared" si="9"/>
        <v>0.24054198685119213</v>
      </c>
      <c r="AD86" s="188">
        <f t="shared" si="9"/>
        <v>0.24054198685119213</v>
      </c>
      <c r="AE86" s="188">
        <f t="shared" si="9"/>
        <v>0.24054198685119213</v>
      </c>
      <c r="AF86" s="188">
        <f t="shared" si="9"/>
        <v>0.24054198685119213</v>
      </c>
      <c r="AG86" s="188">
        <f t="shared" si="9"/>
        <v>0.60435784445160401</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159</v>
      </c>
      <c r="G87" t="s">
        <v>167</v>
      </c>
      <c r="H87" s="63"/>
      <c r="J87" s="188">
        <f t="shared" ref="J87:AO87" si="10">INDEX($J69:$Y69,J$54)</f>
        <v>0.60435784445160401</v>
      </c>
      <c r="K87" s="188">
        <f t="shared" si="10"/>
        <v>0.60435784445160401</v>
      </c>
      <c r="L87" s="188">
        <f t="shared" si="10"/>
        <v>0.60435784445160401</v>
      </c>
      <c r="M87" s="188">
        <f t="shared" si="10"/>
        <v>0.60435784445160401</v>
      </c>
      <c r="N87" s="188">
        <f t="shared" si="10"/>
        <v>0.60435784445160401</v>
      </c>
      <c r="O87" s="188">
        <f t="shared" si="10"/>
        <v>0.60435784445160401</v>
      </c>
      <c r="P87" s="188">
        <f t="shared" si="10"/>
        <v>0.60435784445160401</v>
      </c>
      <c r="Q87" s="188">
        <f t="shared" si="10"/>
        <v>0.60435784445160401</v>
      </c>
      <c r="R87" s="188">
        <f t="shared" si="10"/>
        <v>0.60435784445160401</v>
      </c>
      <c r="S87" s="188">
        <f t="shared" si="10"/>
        <v>0.60435784445160401</v>
      </c>
      <c r="T87" s="188">
        <f t="shared" si="10"/>
        <v>0.60435784445160401</v>
      </c>
      <c r="U87" s="188">
        <f t="shared" si="10"/>
        <v>0.60435784445160401</v>
      </c>
      <c r="V87" s="188">
        <f t="shared" si="10"/>
        <v>0.60435784445160401</v>
      </c>
      <c r="W87" s="188">
        <f t="shared" si="10"/>
        <v>0.33898658826357436</v>
      </c>
      <c r="X87" s="188">
        <f t="shared" si="10"/>
        <v>0.33898658826357436</v>
      </c>
      <c r="Y87" s="188">
        <f t="shared" si="10"/>
        <v>0.33898658826357436</v>
      </c>
      <c r="Z87" s="188">
        <f t="shared" si="10"/>
        <v>0.33898658826357436</v>
      </c>
      <c r="AA87" s="188">
        <f t="shared" si="10"/>
        <v>0.33898658826357436</v>
      </c>
      <c r="AB87" s="188">
        <f t="shared" si="10"/>
        <v>0.24054198685119213</v>
      </c>
      <c r="AC87" s="188">
        <f t="shared" si="10"/>
        <v>0.24054198685119213</v>
      </c>
      <c r="AD87" s="188">
        <f t="shared" si="10"/>
        <v>0.24054198685119213</v>
      </c>
      <c r="AE87" s="188">
        <f t="shared" si="10"/>
        <v>0.24054198685119213</v>
      </c>
      <c r="AF87" s="188">
        <f t="shared" si="10"/>
        <v>0.24054198685119213</v>
      </c>
      <c r="AG87" s="188">
        <f t="shared" si="10"/>
        <v>0.60435784445160401</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160</v>
      </c>
      <c r="G88" t="s">
        <v>167</v>
      </c>
      <c r="H88" s="63"/>
      <c r="J88" s="188">
        <f t="shared" ref="J88:AO88" si="11">INDEX($J70:$Y70,J$54)</f>
        <v>0.60435784445160401</v>
      </c>
      <c r="K88" s="188">
        <f t="shared" si="11"/>
        <v>0.60435784445160401</v>
      </c>
      <c r="L88" s="188">
        <f t="shared" si="11"/>
        <v>0.60435784445160401</v>
      </c>
      <c r="M88" s="188">
        <f t="shared" si="11"/>
        <v>0.60435784445160401</v>
      </c>
      <c r="N88" s="188">
        <f t="shared" si="11"/>
        <v>0.60435784445160401</v>
      </c>
      <c r="O88" s="188">
        <f t="shared" si="11"/>
        <v>0.60435784445160401</v>
      </c>
      <c r="P88" s="188">
        <f t="shared" si="11"/>
        <v>0.60435784445160401</v>
      </c>
      <c r="Q88" s="188">
        <f t="shared" si="11"/>
        <v>0.60435784445160401</v>
      </c>
      <c r="R88" s="188">
        <f t="shared" si="11"/>
        <v>0.60435784445160401</v>
      </c>
      <c r="S88" s="188">
        <f t="shared" si="11"/>
        <v>0.60435784445160401</v>
      </c>
      <c r="T88" s="188">
        <f t="shared" si="11"/>
        <v>0.60435784445160401</v>
      </c>
      <c r="U88" s="188">
        <f t="shared" si="11"/>
        <v>0.60435784445160401</v>
      </c>
      <c r="V88" s="188">
        <f t="shared" si="11"/>
        <v>0.60435784445160401</v>
      </c>
      <c r="W88" s="188">
        <f t="shared" si="11"/>
        <v>0.33898658826357436</v>
      </c>
      <c r="X88" s="188">
        <f t="shared" si="11"/>
        <v>0.33898658826357436</v>
      </c>
      <c r="Y88" s="188">
        <f t="shared" si="11"/>
        <v>0.33898658826357436</v>
      </c>
      <c r="Z88" s="188">
        <f t="shared" si="11"/>
        <v>0.33898658826357436</v>
      </c>
      <c r="AA88" s="188">
        <f t="shared" si="11"/>
        <v>0.33898658826357436</v>
      </c>
      <c r="AB88" s="188">
        <f t="shared" si="11"/>
        <v>0.24054198685119213</v>
      </c>
      <c r="AC88" s="188">
        <f t="shared" si="11"/>
        <v>0.24054198685119213</v>
      </c>
      <c r="AD88" s="188">
        <f t="shared" si="11"/>
        <v>0.24054198685119213</v>
      </c>
      <c r="AE88" s="188">
        <f t="shared" si="11"/>
        <v>0.24054198685119213</v>
      </c>
      <c r="AF88" s="188">
        <f t="shared" si="11"/>
        <v>0.24054198685119213</v>
      </c>
      <c r="AG88" s="188">
        <f t="shared" si="11"/>
        <v>0.60435784445160401</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161</v>
      </c>
      <c r="G89" t="s">
        <v>167</v>
      </c>
      <c r="H89" s="63"/>
      <c r="J89" s="188">
        <f t="shared" ref="J89:AO89" si="12">INDEX($J71:$Y71,J$54)</f>
        <v>0.60435784445160401</v>
      </c>
      <c r="K89" s="188">
        <f t="shared" si="12"/>
        <v>0.60435784445160401</v>
      </c>
      <c r="L89" s="188">
        <f t="shared" si="12"/>
        <v>0.60435784445160401</v>
      </c>
      <c r="M89" s="188">
        <f t="shared" si="12"/>
        <v>0.60435784445160401</v>
      </c>
      <c r="N89" s="188">
        <f t="shared" si="12"/>
        <v>0.60435784445160401</v>
      </c>
      <c r="O89" s="188">
        <f t="shared" si="12"/>
        <v>0.60435784445160401</v>
      </c>
      <c r="P89" s="188">
        <f t="shared" si="12"/>
        <v>0.60435784445160401</v>
      </c>
      <c r="Q89" s="188">
        <f t="shared" si="12"/>
        <v>0.60435784445160401</v>
      </c>
      <c r="R89" s="188">
        <f t="shared" si="12"/>
        <v>0.60435784445160401</v>
      </c>
      <c r="S89" s="188">
        <f t="shared" si="12"/>
        <v>0.60435784445160401</v>
      </c>
      <c r="T89" s="188">
        <f t="shared" si="12"/>
        <v>0.60435784445160401</v>
      </c>
      <c r="U89" s="188">
        <f t="shared" si="12"/>
        <v>0.60435784445160401</v>
      </c>
      <c r="V89" s="188">
        <f t="shared" si="12"/>
        <v>0.60435784445160401</v>
      </c>
      <c r="W89" s="188">
        <f t="shared" si="12"/>
        <v>0.33898658826357436</v>
      </c>
      <c r="X89" s="188">
        <f t="shared" si="12"/>
        <v>0.33898658826357436</v>
      </c>
      <c r="Y89" s="188">
        <f t="shared" si="12"/>
        <v>0.33898658826357436</v>
      </c>
      <c r="Z89" s="188">
        <f t="shared" si="12"/>
        <v>0.33898658826357436</v>
      </c>
      <c r="AA89" s="188">
        <f t="shared" si="12"/>
        <v>0.33898658826357436</v>
      </c>
      <c r="AB89" s="188">
        <f t="shared" si="12"/>
        <v>0.24054198685119213</v>
      </c>
      <c r="AC89" s="188">
        <f t="shared" si="12"/>
        <v>0.24054198685119213</v>
      </c>
      <c r="AD89" s="188">
        <f t="shared" si="12"/>
        <v>0.24054198685119213</v>
      </c>
      <c r="AE89" s="188">
        <f t="shared" si="12"/>
        <v>0.24054198685119213</v>
      </c>
      <c r="AF89" s="188">
        <f t="shared" si="12"/>
        <v>0.24054198685119213</v>
      </c>
      <c r="AG89" s="188">
        <f t="shared" si="12"/>
        <v>0.60435784445160401</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162</v>
      </c>
      <c r="G90" s="91" t="s">
        <v>167</v>
      </c>
      <c r="H90" s="296"/>
      <c r="I90" s="91"/>
      <c r="J90" s="197">
        <f t="shared" ref="J90:AO90" si="13">INDEX($J72:$Y72,J$54)</f>
        <v>0.60435784445160401</v>
      </c>
      <c r="K90" s="197">
        <f t="shared" si="13"/>
        <v>0.60435784445160401</v>
      </c>
      <c r="L90" s="197">
        <f t="shared" si="13"/>
        <v>0.60435784445160401</v>
      </c>
      <c r="M90" s="197">
        <f t="shared" si="13"/>
        <v>0.60435784445160401</v>
      </c>
      <c r="N90" s="197">
        <f t="shared" si="13"/>
        <v>0.60435784445160401</v>
      </c>
      <c r="O90" s="197">
        <f t="shared" si="13"/>
        <v>0.60435784445160401</v>
      </c>
      <c r="P90" s="197">
        <f t="shared" si="13"/>
        <v>0.60435784445160401</v>
      </c>
      <c r="Q90" s="197">
        <f t="shared" si="13"/>
        <v>0.60435784445160401</v>
      </c>
      <c r="R90" s="197">
        <f t="shared" si="13"/>
        <v>0.60435784445160401</v>
      </c>
      <c r="S90" s="197">
        <f t="shared" si="13"/>
        <v>0.60435784445160401</v>
      </c>
      <c r="T90" s="197">
        <f t="shared" si="13"/>
        <v>0.60435784445160401</v>
      </c>
      <c r="U90" s="197">
        <f t="shared" si="13"/>
        <v>0.60435784445160401</v>
      </c>
      <c r="V90" s="197">
        <f t="shared" si="13"/>
        <v>0.60435784445160401</v>
      </c>
      <c r="W90" s="197">
        <f t="shared" si="13"/>
        <v>0.33898658826357436</v>
      </c>
      <c r="X90" s="197">
        <f t="shared" si="13"/>
        <v>0.33898658826357436</v>
      </c>
      <c r="Y90" s="197">
        <f t="shared" si="13"/>
        <v>0.33898658826357436</v>
      </c>
      <c r="Z90" s="197">
        <f t="shared" si="13"/>
        <v>0.33898658826357436</v>
      </c>
      <c r="AA90" s="197">
        <f t="shared" si="13"/>
        <v>0.33898658826357436</v>
      </c>
      <c r="AB90" s="197">
        <f t="shared" si="13"/>
        <v>0.24054198685119213</v>
      </c>
      <c r="AC90" s="197">
        <f t="shared" si="13"/>
        <v>0.24054198685119213</v>
      </c>
      <c r="AD90" s="197">
        <f t="shared" si="13"/>
        <v>0.24054198685119213</v>
      </c>
      <c r="AE90" s="197">
        <f t="shared" si="13"/>
        <v>0.24054198685119213</v>
      </c>
      <c r="AF90" s="197">
        <f t="shared" si="13"/>
        <v>0.24054198685119213</v>
      </c>
      <c r="AG90" s="197">
        <f t="shared" si="13"/>
        <v>0.60435784445160401</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748</v>
      </c>
      <c r="I94" t="s">
        <v>154</v>
      </c>
      <c r="AQ94" t="s">
        <v>155</v>
      </c>
    </row>
    <row r="95" spans="3:43" x14ac:dyDescent="0.25">
      <c r="C95" s="100"/>
      <c r="F95" s="90" t="s">
        <v>156</v>
      </c>
      <c r="G95" s="90" t="s">
        <v>149</v>
      </c>
      <c r="H95" s="236">
        <f>'Fixed inputs'!H25</f>
        <v>3</v>
      </c>
    </row>
    <row r="96" spans="3:43" x14ac:dyDescent="0.25">
      <c r="C96" s="100"/>
      <c r="F96" t="s">
        <v>157</v>
      </c>
      <c r="G96" t="s">
        <v>149</v>
      </c>
      <c r="H96" s="63">
        <f>'Fixed inputs'!H26</f>
        <v>3</v>
      </c>
    </row>
    <row r="97" spans="2:43" x14ac:dyDescent="0.25">
      <c r="C97" s="100"/>
      <c r="F97" t="s">
        <v>158</v>
      </c>
      <c r="G97" t="s">
        <v>149</v>
      </c>
      <c r="H97" s="63">
        <f>'Fixed inputs'!H27</f>
        <v>3</v>
      </c>
    </row>
    <row r="98" spans="2:43" x14ac:dyDescent="0.25">
      <c r="C98" s="100"/>
      <c r="F98" t="s">
        <v>159</v>
      </c>
      <c r="G98" t="s">
        <v>149</v>
      </c>
      <c r="H98" s="63">
        <f>'Fixed inputs'!H28</f>
        <v>2</v>
      </c>
    </row>
    <row r="99" spans="2:43" x14ac:dyDescent="0.25">
      <c r="C99" s="100"/>
      <c r="F99" t="s">
        <v>160</v>
      </c>
      <c r="G99" t="s">
        <v>149</v>
      </c>
      <c r="H99" s="63">
        <f>'Fixed inputs'!H29</f>
        <v>2</v>
      </c>
    </row>
    <row r="100" spans="2:43" x14ac:dyDescent="0.25">
      <c r="C100" s="100"/>
      <c r="F100" t="s">
        <v>161</v>
      </c>
      <c r="G100" t="s">
        <v>149</v>
      </c>
      <c r="H100" s="63">
        <f>'Fixed inputs'!H30</f>
        <v>2</v>
      </c>
    </row>
    <row r="101" spans="2:43" x14ac:dyDescent="0.25">
      <c r="C101" s="100"/>
      <c r="F101" s="91" t="s">
        <v>162</v>
      </c>
      <c r="G101" s="91" t="s">
        <v>149</v>
      </c>
      <c r="H101" s="296">
        <f>'Fixed inputs'!H31</f>
        <v>3</v>
      </c>
    </row>
    <row r="102" spans="2:43" x14ac:dyDescent="0.25">
      <c r="C102" s="100"/>
    </row>
    <row r="103" spans="2:43" x14ac:dyDescent="0.25">
      <c r="B103" s="70" t="s">
        <v>749</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750</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751</v>
      </c>
      <c r="F109" s="60"/>
    </row>
    <row r="110" spans="2:43" x14ac:dyDescent="0.25">
      <c r="D110"/>
      <c r="E110" s="100"/>
      <c r="F110" s="90" t="s">
        <v>156</v>
      </c>
      <c r="G110" s="90" t="s">
        <v>269</v>
      </c>
      <c r="H110" s="276"/>
      <c r="I110" s="264"/>
      <c r="J110" s="281">
        <f xml:space="preserve"> J20 + J32</f>
        <v>11.75861140842118</v>
      </c>
      <c r="K110" s="281">
        <f t="shared" ref="K110:AO110" si="14" xml:space="preserve"> K20 + K32</f>
        <v>11.75861140842118</v>
      </c>
      <c r="L110" s="281">
        <f t="shared" si="14"/>
        <v>13.505938712363852</v>
      </c>
      <c r="M110" s="281">
        <f t="shared" si="14"/>
        <v>13.505938712363852</v>
      </c>
      <c r="N110" s="281">
        <f t="shared" si="14"/>
        <v>13.505938712363852</v>
      </c>
      <c r="O110" s="281">
        <f t="shared" si="14"/>
        <v>13.505938712363852</v>
      </c>
      <c r="P110" s="281">
        <f t="shared" si="14"/>
        <v>13.505938712363852</v>
      </c>
      <c r="Q110" s="281">
        <f t="shared" si="14"/>
        <v>13.505938712363852</v>
      </c>
      <c r="R110" s="281">
        <f t="shared" si="14"/>
        <v>10.050096626636556</v>
      </c>
      <c r="S110" s="281">
        <f t="shared" si="14"/>
        <v>10.050096626636556</v>
      </c>
      <c r="T110" s="281">
        <f t="shared" si="14"/>
        <v>10.050096626636556</v>
      </c>
      <c r="U110" s="281">
        <f t="shared" si="14"/>
        <v>10.050096626636556</v>
      </c>
      <c r="V110" s="281">
        <f t="shared" si="14"/>
        <v>10.050096626636556</v>
      </c>
      <c r="W110" s="281">
        <f t="shared" si="14"/>
        <v>5.5048475396839871</v>
      </c>
      <c r="X110" s="281">
        <f t="shared" si="14"/>
        <v>5.5048475396839871</v>
      </c>
      <c r="Y110" s="281">
        <f t="shared" si="14"/>
        <v>5.5048475396839871</v>
      </c>
      <c r="Z110" s="281">
        <f t="shared" si="14"/>
        <v>5.5048475396839871</v>
      </c>
      <c r="AA110" s="281">
        <f t="shared" si="14"/>
        <v>5.5048475396839871</v>
      </c>
      <c r="AB110" s="281">
        <f t="shared" si="14"/>
        <v>3.934537906520795</v>
      </c>
      <c r="AC110" s="281">
        <f t="shared" si="14"/>
        <v>3.934537906520795</v>
      </c>
      <c r="AD110" s="281">
        <f t="shared" si="14"/>
        <v>3.934537906520795</v>
      </c>
      <c r="AE110" s="281">
        <f t="shared" si="14"/>
        <v>3.934537906520795</v>
      </c>
      <c r="AF110" s="281">
        <f t="shared" si="14"/>
        <v>3.934537906520795</v>
      </c>
      <c r="AG110" s="281">
        <f t="shared" si="14"/>
        <v>32.940291485461451</v>
      </c>
      <c r="AH110" s="281">
        <f t="shared" si="14"/>
        <v>-8.6828864111564013</v>
      </c>
      <c r="AI110" s="281">
        <f t="shared" si="14"/>
        <v>-7.4909886820067939</v>
      </c>
      <c r="AJ110" s="281">
        <f t="shared" si="14"/>
        <v>-8.6828864111564013</v>
      </c>
      <c r="AK110" s="281">
        <f t="shared" si="14"/>
        <v>-8.6828864111564013</v>
      </c>
      <c r="AL110" s="281">
        <f t="shared" si="14"/>
        <v>-7.4909886820067939</v>
      </c>
      <c r="AM110" s="281">
        <f t="shared" si="14"/>
        <v>-7.4909886820067939</v>
      </c>
      <c r="AN110" s="281">
        <f t="shared" si="14"/>
        <v>-4.6866256396748103</v>
      </c>
      <c r="AO110" s="281">
        <f t="shared" si="14"/>
        <v>-4.6866256396748103</v>
      </c>
      <c r="AP110" s="266"/>
      <c r="AQ110" s="266"/>
    </row>
    <row r="111" spans="2:43" x14ac:dyDescent="0.25">
      <c r="D111"/>
      <c r="E111" s="100"/>
      <c r="F111" t="s">
        <v>157</v>
      </c>
      <c r="G111" t="s">
        <v>269</v>
      </c>
      <c r="H111" s="277"/>
      <c r="I111" s="266"/>
      <c r="J111" s="280">
        <f t="shared" ref="J111" si="15" xml:space="preserve"> J21 + J33</f>
        <v>1.2816580758372413</v>
      </c>
      <c r="K111" s="280">
        <f t="shared" ref="K111:AO111" si="16" xml:space="preserve"> K21 + K33</f>
        <v>1.2816580758372413</v>
      </c>
      <c r="L111" s="280">
        <f t="shared" si="16"/>
        <v>1.4721122096157584</v>
      </c>
      <c r="M111" s="280">
        <f t="shared" si="16"/>
        <v>1.4721122096157584</v>
      </c>
      <c r="N111" s="280">
        <f t="shared" si="16"/>
        <v>1.4721122096157584</v>
      </c>
      <c r="O111" s="280">
        <f t="shared" si="16"/>
        <v>1.4721122096157584</v>
      </c>
      <c r="P111" s="280">
        <f t="shared" si="16"/>
        <v>1.4721122096157584</v>
      </c>
      <c r="Q111" s="280">
        <f t="shared" si="16"/>
        <v>1.4721122096157584</v>
      </c>
      <c r="R111" s="280">
        <f t="shared" si="16"/>
        <v>1.0294231999620413</v>
      </c>
      <c r="S111" s="280">
        <f t="shared" si="16"/>
        <v>1.0294231999620413</v>
      </c>
      <c r="T111" s="280">
        <f t="shared" si="16"/>
        <v>1.0294231999620413</v>
      </c>
      <c r="U111" s="280">
        <f t="shared" si="16"/>
        <v>1.0294231999620413</v>
      </c>
      <c r="V111" s="280">
        <f t="shared" si="16"/>
        <v>1.0294231999620413</v>
      </c>
      <c r="W111" s="280">
        <f t="shared" si="16"/>
        <v>0.45411164819859201</v>
      </c>
      <c r="X111" s="280">
        <f t="shared" si="16"/>
        <v>0.45411164819859201</v>
      </c>
      <c r="Y111" s="280">
        <f t="shared" si="16"/>
        <v>0.45411164819859201</v>
      </c>
      <c r="Z111" s="280">
        <f t="shared" si="16"/>
        <v>0.45411164819859201</v>
      </c>
      <c r="AA111" s="280">
        <f t="shared" si="16"/>
        <v>0.45411164819859201</v>
      </c>
      <c r="AB111" s="280">
        <f t="shared" si="16"/>
        <v>0.2863417016086891</v>
      </c>
      <c r="AC111" s="280">
        <f t="shared" si="16"/>
        <v>0.2863417016086891</v>
      </c>
      <c r="AD111" s="280">
        <f t="shared" si="16"/>
        <v>0.2863417016086891</v>
      </c>
      <c r="AE111" s="280">
        <f t="shared" si="16"/>
        <v>0.2863417016086891</v>
      </c>
      <c r="AF111" s="280">
        <f t="shared" si="16"/>
        <v>0.2863417016086891</v>
      </c>
      <c r="AG111" s="280">
        <f t="shared" si="16"/>
        <v>2.6434969718178722</v>
      </c>
      <c r="AH111" s="280">
        <f t="shared" si="16"/>
        <v>-0.94641204678863167</v>
      </c>
      <c r="AI111" s="280">
        <f t="shared" si="16"/>
        <v>-0.79108714654520906</v>
      </c>
      <c r="AJ111" s="280">
        <f t="shared" si="16"/>
        <v>-0.94641204678863167</v>
      </c>
      <c r="AK111" s="280">
        <f t="shared" si="16"/>
        <v>-0.94641204678863167</v>
      </c>
      <c r="AL111" s="280">
        <f t="shared" si="16"/>
        <v>-0.79108714654520906</v>
      </c>
      <c r="AM111" s="280">
        <f t="shared" si="16"/>
        <v>-0.79108714654520906</v>
      </c>
      <c r="AN111" s="280">
        <f t="shared" si="16"/>
        <v>-0.38661403033964564</v>
      </c>
      <c r="AO111" s="280">
        <f t="shared" si="16"/>
        <v>-0.38661403033964564</v>
      </c>
      <c r="AP111" s="266"/>
      <c r="AQ111" s="266"/>
    </row>
    <row r="112" spans="2:43" x14ac:dyDescent="0.25">
      <c r="D112"/>
      <c r="E112" s="100"/>
      <c r="F112" t="s">
        <v>158</v>
      </c>
      <c r="G112" t="s">
        <v>269</v>
      </c>
      <c r="H112" s="277"/>
      <c r="I112" s="266"/>
      <c r="J112" s="280">
        <f t="shared" ref="J112" si="17" xml:space="preserve"> J22 + J34</f>
        <v>2.5851809433392624E-2</v>
      </c>
      <c r="K112" s="280">
        <f t="shared" ref="K112:AO112" si="18" xml:space="preserve"> K22 + K34</f>
        <v>2.5851809433392624E-2</v>
      </c>
      <c r="L112" s="280">
        <f t="shared" si="18"/>
        <v>2.9693383145654183E-2</v>
      </c>
      <c r="M112" s="280">
        <f t="shared" si="18"/>
        <v>2.9693383145654183E-2</v>
      </c>
      <c r="N112" s="280">
        <f t="shared" si="18"/>
        <v>2.9693383145654183E-2</v>
      </c>
      <c r="O112" s="280">
        <f t="shared" si="18"/>
        <v>2.9693383145654183E-2</v>
      </c>
      <c r="P112" s="280">
        <f t="shared" si="18"/>
        <v>2.9693383145654183E-2</v>
      </c>
      <c r="Q112" s="280">
        <f t="shared" si="18"/>
        <v>2.9693383145654183E-2</v>
      </c>
      <c r="R112" s="280">
        <f t="shared" si="18"/>
        <v>2.109399736806291E-2</v>
      </c>
      <c r="S112" s="280">
        <f t="shared" si="18"/>
        <v>2.109399736806291E-2</v>
      </c>
      <c r="T112" s="280">
        <f t="shared" si="18"/>
        <v>2.109399736806291E-2</v>
      </c>
      <c r="U112" s="280">
        <f t="shared" si="18"/>
        <v>2.109399736806291E-2</v>
      </c>
      <c r="V112" s="280">
        <f t="shared" si="18"/>
        <v>2.109399736806291E-2</v>
      </c>
      <c r="W112" s="280">
        <f t="shared" si="18"/>
        <v>9.8889062887688589E-3</v>
      </c>
      <c r="X112" s="280">
        <f t="shared" si="18"/>
        <v>9.8889062887688589E-3</v>
      </c>
      <c r="Y112" s="280">
        <f t="shared" si="18"/>
        <v>9.8889062887688589E-3</v>
      </c>
      <c r="Z112" s="280">
        <f t="shared" si="18"/>
        <v>9.8889062887688589E-3</v>
      </c>
      <c r="AA112" s="280">
        <f t="shared" si="18"/>
        <v>9.8889062887688589E-3</v>
      </c>
      <c r="AB112" s="280">
        <f t="shared" si="18"/>
        <v>6.487944767554584E-3</v>
      </c>
      <c r="AC112" s="280">
        <f t="shared" si="18"/>
        <v>6.487944767554584E-3</v>
      </c>
      <c r="AD112" s="280">
        <f t="shared" si="18"/>
        <v>6.487944767554584E-3</v>
      </c>
      <c r="AE112" s="280">
        <f t="shared" si="18"/>
        <v>6.487944767554584E-3</v>
      </c>
      <c r="AF112" s="280">
        <f t="shared" si="18"/>
        <v>6.487944767554584E-3</v>
      </c>
      <c r="AG112" s="280">
        <f t="shared" si="18"/>
        <v>1.4871623866756594</v>
      </c>
      <c r="AH112" s="280">
        <f t="shared" si="18"/>
        <v>-1.9089696651787637E-2</v>
      </c>
      <c r="AI112" s="280">
        <f t="shared" si="18"/>
        <v>-1.608370245700632E-2</v>
      </c>
      <c r="AJ112" s="280">
        <f t="shared" si="18"/>
        <v>-1.9089696651787637E-2</v>
      </c>
      <c r="AK112" s="280">
        <f t="shared" si="18"/>
        <v>-1.9089696651787637E-2</v>
      </c>
      <c r="AL112" s="280">
        <f t="shared" si="18"/>
        <v>-1.608370245700632E-2</v>
      </c>
      <c r="AM112" s="280">
        <f t="shared" si="18"/>
        <v>-1.608370245700632E-2</v>
      </c>
      <c r="AN112" s="280">
        <f t="shared" si="18"/>
        <v>-8.4190527398232233E-3</v>
      </c>
      <c r="AO112" s="280">
        <f t="shared" si="18"/>
        <v>-8.4190527398232233E-3</v>
      </c>
      <c r="AP112" s="266"/>
      <c r="AQ112" s="266"/>
    </row>
    <row r="113" spans="3:43" x14ac:dyDescent="0.25">
      <c r="D113"/>
      <c r="E113" s="100"/>
      <c r="F113" t="s">
        <v>159</v>
      </c>
      <c r="G113" t="s">
        <v>270</v>
      </c>
      <c r="H113" s="63"/>
      <c r="J113" s="141">
        <f t="shared" ref="J113" si="19" xml:space="preserve"> J23 + J35</f>
        <v>14.709393755177203</v>
      </c>
      <c r="K113" s="141">
        <f t="shared" ref="K113:AO113" si="20" xml:space="preserve"> K23 + K35</f>
        <v>0</v>
      </c>
      <c r="L113" s="141">
        <f t="shared" si="20"/>
        <v>8.4039402273991612</v>
      </c>
      <c r="M113" s="141">
        <f t="shared" si="20"/>
        <v>18.509208888890527</v>
      </c>
      <c r="N113" s="141">
        <f t="shared" si="20"/>
        <v>30.042133344613706</v>
      </c>
      <c r="O113" s="141">
        <f t="shared" si="20"/>
        <v>55.237273357969073</v>
      </c>
      <c r="P113" s="141">
        <f t="shared" si="20"/>
        <v>145.41278072605428</v>
      </c>
      <c r="Q113" s="141">
        <f t="shared" si="20"/>
        <v>0</v>
      </c>
      <c r="R113" s="141">
        <f t="shared" si="20"/>
        <v>28.092337095321017</v>
      </c>
      <c r="S113" s="141">
        <f t="shared" si="20"/>
        <v>296.32002027682188</v>
      </c>
      <c r="T113" s="141">
        <f t="shared" si="20"/>
        <v>490.3941774259543</v>
      </c>
      <c r="U113" s="141">
        <f t="shared" si="20"/>
        <v>818.76449748162236</v>
      </c>
      <c r="V113" s="141">
        <f t="shared" si="20"/>
        <v>1698.9849327635634</v>
      </c>
      <c r="W113" s="141">
        <f t="shared" si="20"/>
        <v>9.9149425042309467</v>
      </c>
      <c r="X113" s="141">
        <f t="shared" si="20"/>
        <v>278.14262568573196</v>
      </c>
      <c r="Y113" s="141">
        <f t="shared" si="20"/>
        <v>472.21678283486426</v>
      </c>
      <c r="Z113" s="141">
        <f t="shared" si="20"/>
        <v>800.58710289053226</v>
      </c>
      <c r="AA113" s="141">
        <f t="shared" si="20"/>
        <v>1680.8075381724734</v>
      </c>
      <c r="AB113" s="141">
        <f t="shared" si="20"/>
        <v>150.1181966569537</v>
      </c>
      <c r="AC113" s="141">
        <f t="shared" si="20"/>
        <v>1497.0531098041865</v>
      </c>
      <c r="AD113" s="141">
        <f t="shared" si="20"/>
        <v>4420.5451565759631</v>
      </c>
      <c r="AE113" s="141">
        <f t="shared" si="20"/>
        <v>8477.3986959409813</v>
      </c>
      <c r="AF113" s="141">
        <f t="shared" si="20"/>
        <v>22553.939913335373</v>
      </c>
      <c r="AG113" s="141">
        <f t="shared" si="20"/>
        <v>0</v>
      </c>
      <c r="AH113" s="141">
        <f t="shared" si="20"/>
        <v>0</v>
      </c>
      <c r="AI113" s="141">
        <f t="shared" si="20"/>
        <v>0</v>
      </c>
      <c r="AJ113" s="141">
        <f t="shared" si="20"/>
        <v>0</v>
      </c>
      <c r="AK113" s="141">
        <f t="shared" si="20"/>
        <v>0</v>
      </c>
      <c r="AL113" s="141">
        <f t="shared" si="20"/>
        <v>0</v>
      </c>
      <c r="AM113" s="141">
        <f t="shared" si="20"/>
        <v>0</v>
      </c>
      <c r="AN113" s="141">
        <f t="shared" si="20"/>
        <v>109.61913218665811</v>
      </c>
      <c r="AO113" s="141">
        <f t="shared" si="20"/>
        <v>109.61913218665811</v>
      </c>
    </row>
    <row r="114" spans="3:43" x14ac:dyDescent="0.25">
      <c r="D114"/>
      <c r="E114" s="100"/>
      <c r="F114" t="s">
        <v>160</v>
      </c>
      <c r="G114" t="s">
        <v>271</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5.157426726498894</v>
      </c>
      <c r="S114" s="141">
        <f t="shared" si="22"/>
        <v>5.157426726498894</v>
      </c>
      <c r="T114" s="141">
        <f t="shared" si="22"/>
        <v>5.157426726498894</v>
      </c>
      <c r="U114" s="141">
        <f t="shared" si="22"/>
        <v>5.157426726498894</v>
      </c>
      <c r="V114" s="141">
        <f t="shared" si="22"/>
        <v>5.157426726498894</v>
      </c>
      <c r="W114" s="141">
        <f t="shared" si="22"/>
        <v>7.2722766253928866</v>
      </c>
      <c r="X114" s="141">
        <f t="shared" si="22"/>
        <v>7.2722766253928866</v>
      </c>
      <c r="Y114" s="141">
        <f t="shared" si="22"/>
        <v>7.2722766253928866</v>
      </c>
      <c r="Z114" s="141">
        <f t="shared" si="22"/>
        <v>7.2722766253928866</v>
      </c>
      <c r="AA114" s="141">
        <f t="shared" si="22"/>
        <v>7.2722766253928866</v>
      </c>
      <c r="AB114" s="141">
        <f t="shared" si="22"/>
        <v>8.657780801769924</v>
      </c>
      <c r="AC114" s="141">
        <f t="shared" si="22"/>
        <v>8.657780801769924</v>
      </c>
      <c r="AD114" s="141">
        <f t="shared" si="22"/>
        <v>8.657780801769924</v>
      </c>
      <c r="AE114" s="141">
        <f t="shared" si="22"/>
        <v>8.657780801769924</v>
      </c>
      <c r="AF114" s="141">
        <f t="shared" si="22"/>
        <v>8.657780801769924</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161</v>
      </c>
      <c r="G115" t="s">
        <v>271</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5.157426726498894</v>
      </c>
      <c r="S115" s="141">
        <f t="shared" si="24"/>
        <v>5.157426726498894</v>
      </c>
      <c r="T115" s="141">
        <f t="shared" si="24"/>
        <v>5.157426726498894</v>
      </c>
      <c r="U115" s="141">
        <f t="shared" si="24"/>
        <v>5.157426726498894</v>
      </c>
      <c r="V115" s="141">
        <f t="shared" si="24"/>
        <v>5.157426726498894</v>
      </c>
      <c r="W115" s="141">
        <f t="shared" si="24"/>
        <v>7.2722766253928866</v>
      </c>
      <c r="X115" s="141">
        <f t="shared" si="24"/>
        <v>7.2722766253928866</v>
      </c>
      <c r="Y115" s="141">
        <f t="shared" si="24"/>
        <v>7.2722766253928866</v>
      </c>
      <c r="Z115" s="141">
        <f t="shared" si="24"/>
        <v>7.2722766253928866</v>
      </c>
      <c r="AA115" s="141">
        <f t="shared" si="24"/>
        <v>7.2722766253928866</v>
      </c>
      <c r="AB115" s="141">
        <f t="shared" si="24"/>
        <v>8.657780801769924</v>
      </c>
      <c r="AC115" s="141">
        <f t="shared" si="24"/>
        <v>8.657780801769924</v>
      </c>
      <c r="AD115" s="141">
        <f t="shared" si="24"/>
        <v>8.657780801769924</v>
      </c>
      <c r="AE115" s="141">
        <f t="shared" si="24"/>
        <v>8.657780801769924</v>
      </c>
      <c r="AF115" s="141">
        <f t="shared" si="24"/>
        <v>8.657780801769924</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162</v>
      </c>
      <c r="G116" s="91" t="s">
        <v>272</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0.22303605893423567</v>
      </c>
      <c r="S116" s="352">
        <f t="shared" si="26"/>
        <v>0.22303605893423567</v>
      </c>
      <c r="T116" s="352">
        <f t="shared" si="26"/>
        <v>0.22303605893423567</v>
      </c>
      <c r="U116" s="352">
        <f t="shared" si="26"/>
        <v>0.22303605893423567</v>
      </c>
      <c r="V116" s="352">
        <f t="shared" si="26"/>
        <v>0.22303605893423567</v>
      </c>
      <c r="W116" s="352">
        <f t="shared" si="26"/>
        <v>0.11885406809484486</v>
      </c>
      <c r="X116" s="352">
        <f t="shared" si="26"/>
        <v>0.11885406809484486</v>
      </c>
      <c r="Y116" s="352">
        <f t="shared" si="26"/>
        <v>0.11885406809484486</v>
      </c>
      <c r="Z116" s="352">
        <f t="shared" si="26"/>
        <v>0.11885406809484486</v>
      </c>
      <c r="AA116" s="352">
        <f t="shared" si="26"/>
        <v>0.11885406809484486</v>
      </c>
      <c r="AB116" s="352">
        <f t="shared" si="26"/>
        <v>8.1602449681017319E-2</v>
      </c>
      <c r="AC116" s="352">
        <f t="shared" si="26"/>
        <v>8.1602449681017319E-2</v>
      </c>
      <c r="AD116" s="352">
        <f t="shared" si="26"/>
        <v>8.1602449681017319E-2</v>
      </c>
      <c r="AE116" s="352">
        <f t="shared" si="26"/>
        <v>8.1602449681017319E-2</v>
      </c>
      <c r="AF116" s="352">
        <f t="shared" si="26"/>
        <v>8.1602449681017319E-2</v>
      </c>
      <c r="AG116" s="352">
        <f t="shared" si="26"/>
        <v>0</v>
      </c>
      <c r="AH116" s="352">
        <f t="shared" si="26"/>
        <v>0</v>
      </c>
      <c r="AI116" s="352">
        <f t="shared" si="26"/>
        <v>0</v>
      </c>
      <c r="AJ116" s="352">
        <f t="shared" si="26"/>
        <v>0.19787136915965053</v>
      </c>
      <c r="AK116" s="352">
        <f t="shared" si="26"/>
        <v>0</v>
      </c>
      <c r="AL116" s="352">
        <f t="shared" si="26"/>
        <v>0.16337193391660304</v>
      </c>
      <c r="AM116" s="352">
        <f t="shared" si="26"/>
        <v>0</v>
      </c>
      <c r="AN116" s="352">
        <f t="shared" si="26"/>
        <v>0.14703085117058712</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885</v>
      </c>
      <c r="F120" s="60"/>
      <c r="I120" t="s">
        <v>154</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892</v>
      </c>
    </row>
    <row r="121" spans="3:43" x14ac:dyDescent="0.25">
      <c r="E121" s="100"/>
      <c r="F121" s="90" t="s">
        <v>156</v>
      </c>
      <c r="G121" s="90" t="s">
        <v>269</v>
      </c>
      <c r="H121" s="276"/>
      <c r="I121" s="264"/>
      <c r="J121" s="353">
        <f xml:space="preserve"> J110 + J44</f>
        <v>11.75861140842118</v>
      </c>
      <c r="K121" s="353">
        <f t="shared" ref="K121:AO121" si="27" xml:space="preserve"> K110 + K44</f>
        <v>11.75861140842118</v>
      </c>
      <c r="L121" s="353">
        <f t="shared" si="27"/>
        <v>13.505938712363852</v>
      </c>
      <c r="M121" s="353">
        <f t="shared" si="27"/>
        <v>13.505938712363852</v>
      </c>
      <c r="N121" s="353">
        <f t="shared" si="27"/>
        <v>13.505938712363852</v>
      </c>
      <c r="O121" s="353">
        <f t="shared" si="27"/>
        <v>13.505938712363852</v>
      </c>
      <c r="P121" s="353">
        <f t="shared" si="27"/>
        <v>13.505938712363852</v>
      </c>
      <c r="Q121" s="353">
        <f t="shared" si="27"/>
        <v>13.505938712363852</v>
      </c>
      <c r="R121" s="353">
        <f t="shared" si="27"/>
        <v>10.050096626636556</v>
      </c>
      <c r="S121" s="353">
        <f t="shared" si="27"/>
        <v>10.050096626636556</v>
      </c>
      <c r="T121" s="353">
        <f t="shared" si="27"/>
        <v>10.050096626636556</v>
      </c>
      <c r="U121" s="353">
        <f t="shared" si="27"/>
        <v>10.050096626636556</v>
      </c>
      <c r="V121" s="353">
        <f t="shared" si="27"/>
        <v>10.050096626636556</v>
      </c>
      <c r="W121" s="353">
        <f t="shared" si="27"/>
        <v>5.5048475396839871</v>
      </c>
      <c r="X121" s="353">
        <f t="shared" si="27"/>
        <v>5.5048475396839871</v>
      </c>
      <c r="Y121" s="353">
        <f t="shared" si="27"/>
        <v>5.5048475396839871</v>
      </c>
      <c r="Z121" s="353">
        <f t="shared" si="27"/>
        <v>5.5048475396839871</v>
      </c>
      <c r="AA121" s="353">
        <f t="shared" si="27"/>
        <v>5.5048475396839871</v>
      </c>
      <c r="AB121" s="353">
        <f t="shared" si="27"/>
        <v>3.934537906520795</v>
      </c>
      <c r="AC121" s="353">
        <f t="shared" si="27"/>
        <v>3.934537906520795</v>
      </c>
      <c r="AD121" s="353">
        <f t="shared" si="27"/>
        <v>3.934537906520795</v>
      </c>
      <c r="AE121" s="353">
        <f t="shared" si="27"/>
        <v>3.934537906520795</v>
      </c>
      <c r="AF121" s="353">
        <f t="shared" si="27"/>
        <v>3.934537906520795</v>
      </c>
      <c r="AG121" s="353">
        <f t="shared" si="27"/>
        <v>32.940291485461451</v>
      </c>
      <c r="AH121" s="353">
        <f t="shared" si="27"/>
        <v>-8.6828864111564013</v>
      </c>
      <c r="AI121" s="353">
        <f t="shared" si="27"/>
        <v>-7.4909886820067939</v>
      </c>
      <c r="AJ121" s="353">
        <f t="shared" si="27"/>
        <v>-8.6828864111564013</v>
      </c>
      <c r="AK121" s="353">
        <f t="shared" si="27"/>
        <v>-8.6828864111564013</v>
      </c>
      <c r="AL121" s="353">
        <f t="shared" si="27"/>
        <v>-7.4909886820067939</v>
      </c>
      <c r="AM121" s="353">
        <f t="shared" si="27"/>
        <v>-7.4909886820067939</v>
      </c>
      <c r="AN121" s="353">
        <f t="shared" si="27"/>
        <v>-4.6866256396748103</v>
      </c>
      <c r="AO121" s="353">
        <f t="shared" si="27"/>
        <v>-4.6866256396748103</v>
      </c>
      <c r="AP121" s="266"/>
      <c r="AQ121" s="266"/>
    </row>
    <row r="122" spans="3:43" x14ac:dyDescent="0.25">
      <c r="E122" s="100"/>
      <c r="F122" t="s">
        <v>157</v>
      </c>
      <c r="G122" t="s">
        <v>269</v>
      </c>
      <c r="H122" s="277"/>
      <c r="I122" s="266"/>
      <c r="J122" s="354">
        <f t="shared" ref="J122" si="28" xml:space="preserve"> J111 + J45</f>
        <v>1.2816580758372413</v>
      </c>
      <c r="K122" s="354">
        <f t="shared" ref="K122:AO122" si="29" xml:space="preserve"> K111 + K45</f>
        <v>1.2816580758372413</v>
      </c>
      <c r="L122" s="354">
        <f t="shared" si="29"/>
        <v>1.4721122096157584</v>
      </c>
      <c r="M122" s="354">
        <f t="shared" si="29"/>
        <v>1.4721122096157584</v>
      </c>
      <c r="N122" s="354">
        <f t="shared" si="29"/>
        <v>1.4721122096157584</v>
      </c>
      <c r="O122" s="354">
        <f t="shared" si="29"/>
        <v>1.4721122096157584</v>
      </c>
      <c r="P122" s="354">
        <f t="shared" si="29"/>
        <v>1.4721122096157584</v>
      </c>
      <c r="Q122" s="354">
        <f t="shared" si="29"/>
        <v>1.4721122096157584</v>
      </c>
      <c r="R122" s="354">
        <f t="shared" si="29"/>
        <v>1.0294231999620413</v>
      </c>
      <c r="S122" s="354">
        <f t="shared" si="29"/>
        <v>1.0294231999620413</v>
      </c>
      <c r="T122" s="354">
        <f t="shared" si="29"/>
        <v>1.0294231999620413</v>
      </c>
      <c r="U122" s="354">
        <f t="shared" si="29"/>
        <v>1.0294231999620413</v>
      </c>
      <c r="V122" s="354">
        <f t="shared" si="29"/>
        <v>1.0294231999620413</v>
      </c>
      <c r="W122" s="354">
        <f t="shared" si="29"/>
        <v>0.45411164819859201</v>
      </c>
      <c r="X122" s="354">
        <f t="shared" si="29"/>
        <v>0.45411164819859201</v>
      </c>
      <c r="Y122" s="354">
        <f t="shared" si="29"/>
        <v>0.45411164819859201</v>
      </c>
      <c r="Z122" s="354">
        <f t="shared" si="29"/>
        <v>0.45411164819859201</v>
      </c>
      <c r="AA122" s="354">
        <f t="shared" si="29"/>
        <v>0.45411164819859201</v>
      </c>
      <c r="AB122" s="354">
        <f t="shared" si="29"/>
        <v>0.2863417016086891</v>
      </c>
      <c r="AC122" s="354">
        <f t="shared" si="29"/>
        <v>0.2863417016086891</v>
      </c>
      <c r="AD122" s="354">
        <f t="shared" si="29"/>
        <v>0.2863417016086891</v>
      </c>
      <c r="AE122" s="354">
        <f t="shared" si="29"/>
        <v>0.2863417016086891</v>
      </c>
      <c r="AF122" s="354">
        <f t="shared" si="29"/>
        <v>0.2863417016086891</v>
      </c>
      <c r="AG122" s="354">
        <f t="shared" si="29"/>
        <v>2.6434969718178722</v>
      </c>
      <c r="AH122" s="354">
        <f t="shared" si="29"/>
        <v>-0.94641204678863167</v>
      </c>
      <c r="AI122" s="354">
        <f t="shared" si="29"/>
        <v>-0.79108714654520906</v>
      </c>
      <c r="AJ122" s="354">
        <f t="shared" si="29"/>
        <v>-0.94641204678863167</v>
      </c>
      <c r="AK122" s="354">
        <f t="shared" si="29"/>
        <v>-0.94641204678863167</v>
      </c>
      <c r="AL122" s="354">
        <f t="shared" si="29"/>
        <v>-0.79108714654520906</v>
      </c>
      <c r="AM122" s="354">
        <f t="shared" si="29"/>
        <v>-0.79108714654520906</v>
      </c>
      <c r="AN122" s="354">
        <f t="shared" si="29"/>
        <v>-0.38661403033964564</v>
      </c>
      <c r="AO122" s="354">
        <f t="shared" si="29"/>
        <v>-0.38661403033964564</v>
      </c>
      <c r="AP122" s="266"/>
      <c r="AQ122" s="266"/>
    </row>
    <row r="123" spans="3:43" x14ac:dyDescent="0.25">
      <c r="E123" s="100"/>
      <c r="F123" t="s">
        <v>158</v>
      </c>
      <c r="G123" t="s">
        <v>269</v>
      </c>
      <c r="H123" s="277"/>
      <c r="I123" s="266"/>
      <c r="J123" s="354">
        <f t="shared" ref="J123" si="30" xml:space="preserve"> J112 + J46</f>
        <v>2.5851809433392624E-2</v>
      </c>
      <c r="K123" s="354">
        <f t="shared" ref="K123:AO123" si="31" xml:space="preserve"> K112 + K46</f>
        <v>2.5851809433392624E-2</v>
      </c>
      <c r="L123" s="354">
        <f t="shared" si="31"/>
        <v>2.9693383145654183E-2</v>
      </c>
      <c r="M123" s="354">
        <f t="shared" si="31"/>
        <v>2.9693383145654183E-2</v>
      </c>
      <c r="N123" s="354">
        <f t="shared" si="31"/>
        <v>2.9693383145654183E-2</v>
      </c>
      <c r="O123" s="354">
        <f t="shared" si="31"/>
        <v>2.9693383145654183E-2</v>
      </c>
      <c r="P123" s="354">
        <f t="shared" si="31"/>
        <v>2.9693383145654183E-2</v>
      </c>
      <c r="Q123" s="354">
        <f t="shared" si="31"/>
        <v>2.9693383145654183E-2</v>
      </c>
      <c r="R123" s="354">
        <f t="shared" si="31"/>
        <v>2.109399736806291E-2</v>
      </c>
      <c r="S123" s="354">
        <f t="shared" si="31"/>
        <v>2.109399736806291E-2</v>
      </c>
      <c r="T123" s="354">
        <f t="shared" si="31"/>
        <v>2.109399736806291E-2</v>
      </c>
      <c r="U123" s="354">
        <f t="shared" si="31"/>
        <v>2.109399736806291E-2</v>
      </c>
      <c r="V123" s="354">
        <f t="shared" si="31"/>
        <v>2.109399736806291E-2</v>
      </c>
      <c r="W123" s="354">
        <f t="shared" si="31"/>
        <v>9.8889062887688589E-3</v>
      </c>
      <c r="X123" s="354">
        <f t="shared" si="31"/>
        <v>9.8889062887688589E-3</v>
      </c>
      <c r="Y123" s="354">
        <f t="shared" si="31"/>
        <v>9.8889062887688589E-3</v>
      </c>
      <c r="Z123" s="354">
        <f t="shared" si="31"/>
        <v>9.8889062887688589E-3</v>
      </c>
      <c r="AA123" s="354">
        <f t="shared" si="31"/>
        <v>9.8889062887688589E-3</v>
      </c>
      <c r="AB123" s="354">
        <f t="shared" si="31"/>
        <v>6.487944767554584E-3</v>
      </c>
      <c r="AC123" s="354">
        <f t="shared" si="31"/>
        <v>6.487944767554584E-3</v>
      </c>
      <c r="AD123" s="354">
        <f t="shared" si="31"/>
        <v>6.487944767554584E-3</v>
      </c>
      <c r="AE123" s="354">
        <f t="shared" si="31"/>
        <v>6.487944767554584E-3</v>
      </c>
      <c r="AF123" s="354">
        <f t="shared" si="31"/>
        <v>6.487944767554584E-3</v>
      </c>
      <c r="AG123" s="354">
        <f t="shared" si="31"/>
        <v>1.4871623866756594</v>
      </c>
      <c r="AH123" s="354">
        <f t="shared" si="31"/>
        <v>-1.9089696651787637E-2</v>
      </c>
      <c r="AI123" s="354">
        <f t="shared" si="31"/>
        <v>-1.608370245700632E-2</v>
      </c>
      <c r="AJ123" s="354">
        <f t="shared" si="31"/>
        <v>-1.9089696651787637E-2</v>
      </c>
      <c r="AK123" s="354">
        <f t="shared" si="31"/>
        <v>-1.9089696651787637E-2</v>
      </c>
      <c r="AL123" s="354">
        <f t="shared" si="31"/>
        <v>-1.608370245700632E-2</v>
      </c>
      <c r="AM123" s="354">
        <f t="shared" si="31"/>
        <v>-1.608370245700632E-2</v>
      </c>
      <c r="AN123" s="354">
        <f t="shared" si="31"/>
        <v>-8.4190527398232233E-3</v>
      </c>
      <c r="AO123" s="354">
        <f t="shared" si="31"/>
        <v>-8.4190527398232233E-3</v>
      </c>
      <c r="AP123" s="266"/>
      <c r="AQ123" s="266"/>
    </row>
    <row r="124" spans="3:43" x14ac:dyDescent="0.25">
      <c r="E124" s="100"/>
      <c r="F124" t="s">
        <v>159</v>
      </c>
      <c r="G124" t="s">
        <v>270</v>
      </c>
      <c r="H124" s="63"/>
      <c r="J124" s="191">
        <f t="shared" ref="J124" si="32" xml:space="preserve"> J113 + J47</f>
        <v>14.828703019808652</v>
      </c>
      <c r="K124" s="191">
        <f t="shared" ref="K124:AO124" si="33" xml:space="preserve"> K113 + K47</f>
        <v>0</v>
      </c>
      <c r="L124" s="191">
        <f t="shared" si="33"/>
        <v>8.4422369539457431</v>
      </c>
      <c r="M124" s="191">
        <f t="shared" si="33"/>
        <v>18.54750561543711</v>
      </c>
      <c r="N124" s="191">
        <f t="shared" si="33"/>
        <v>30.08043007116029</v>
      </c>
      <c r="O124" s="191">
        <f t="shared" si="33"/>
        <v>55.275570084515657</v>
      </c>
      <c r="P124" s="191">
        <f t="shared" si="33"/>
        <v>145.45107745260086</v>
      </c>
      <c r="Q124" s="191">
        <f t="shared" si="33"/>
        <v>0</v>
      </c>
      <c r="R124" s="191">
        <f t="shared" si="33"/>
        <v>28.130633821867601</v>
      </c>
      <c r="S124" s="191">
        <f t="shared" si="33"/>
        <v>296.35831700336848</v>
      </c>
      <c r="T124" s="191">
        <f t="shared" si="33"/>
        <v>490.4324741525009</v>
      </c>
      <c r="U124" s="191">
        <f t="shared" si="33"/>
        <v>818.80279420816896</v>
      </c>
      <c r="V124" s="191">
        <f t="shared" si="33"/>
        <v>1699.02322949011</v>
      </c>
      <c r="W124" s="191">
        <f t="shared" si="33"/>
        <v>9.9532392307775286</v>
      </c>
      <c r="X124" s="191">
        <f t="shared" si="33"/>
        <v>278.18092241227856</v>
      </c>
      <c r="Y124" s="191">
        <f t="shared" si="33"/>
        <v>472.25507956141087</v>
      </c>
      <c r="Z124" s="191">
        <f t="shared" si="33"/>
        <v>800.62539961707887</v>
      </c>
      <c r="AA124" s="191">
        <f t="shared" si="33"/>
        <v>1680.84583489902</v>
      </c>
      <c r="AB124" s="191">
        <f t="shared" si="33"/>
        <v>150.15649338350028</v>
      </c>
      <c r="AC124" s="191">
        <f t="shared" si="33"/>
        <v>1497.0914065307331</v>
      </c>
      <c r="AD124" s="191">
        <f t="shared" si="33"/>
        <v>4420.58345330251</v>
      </c>
      <c r="AE124" s="191">
        <f t="shared" si="33"/>
        <v>8477.4369926675281</v>
      </c>
      <c r="AF124" s="191">
        <f t="shared" si="33"/>
        <v>22553.97821006192</v>
      </c>
      <c r="AG124" s="191">
        <f t="shared" si="33"/>
        <v>0</v>
      </c>
      <c r="AH124" s="191">
        <f t="shared" si="33"/>
        <v>0</v>
      </c>
      <c r="AI124" s="191">
        <f t="shared" si="33"/>
        <v>0</v>
      </c>
      <c r="AJ124" s="191">
        <f t="shared" si="33"/>
        <v>0</v>
      </c>
      <c r="AK124" s="191">
        <f t="shared" si="33"/>
        <v>0</v>
      </c>
      <c r="AL124" s="191">
        <f t="shared" si="33"/>
        <v>0</v>
      </c>
      <c r="AM124" s="191">
        <f t="shared" si="33"/>
        <v>0</v>
      </c>
      <c r="AN124" s="191">
        <f t="shared" si="33"/>
        <v>109.61913218665811</v>
      </c>
      <c r="AO124" s="191">
        <f t="shared" si="33"/>
        <v>109.61913218665811</v>
      </c>
    </row>
    <row r="125" spans="3:43" x14ac:dyDescent="0.25">
      <c r="E125" s="100"/>
      <c r="F125" t="s">
        <v>160</v>
      </c>
      <c r="G125" t="s">
        <v>271</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5.157426726498894</v>
      </c>
      <c r="S125" s="191">
        <f t="shared" si="35"/>
        <v>5.157426726498894</v>
      </c>
      <c r="T125" s="191">
        <f t="shared" si="35"/>
        <v>5.157426726498894</v>
      </c>
      <c r="U125" s="191">
        <f t="shared" si="35"/>
        <v>5.157426726498894</v>
      </c>
      <c r="V125" s="191">
        <f t="shared" si="35"/>
        <v>5.157426726498894</v>
      </c>
      <c r="W125" s="191">
        <f t="shared" si="35"/>
        <v>7.2722766253928866</v>
      </c>
      <c r="X125" s="191">
        <f t="shared" si="35"/>
        <v>7.2722766253928866</v>
      </c>
      <c r="Y125" s="191">
        <f t="shared" si="35"/>
        <v>7.2722766253928866</v>
      </c>
      <c r="Z125" s="191">
        <f t="shared" si="35"/>
        <v>7.2722766253928866</v>
      </c>
      <c r="AA125" s="191">
        <f t="shared" si="35"/>
        <v>7.2722766253928866</v>
      </c>
      <c r="AB125" s="191">
        <f t="shared" si="35"/>
        <v>8.657780801769924</v>
      </c>
      <c r="AC125" s="191">
        <f t="shared" si="35"/>
        <v>8.657780801769924</v>
      </c>
      <c r="AD125" s="191">
        <f t="shared" si="35"/>
        <v>8.657780801769924</v>
      </c>
      <c r="AE125" s="191">
        <f t="shared" si="35"/>
        <v>8.657780801769924</v>
      </c>
      <c r="AF125" s="191">
        <f t="shared" si="35"/>
        <v>8.657780801769924</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161</v>
      </c>
      <c r="G126" t="s">
        <v>271</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5.157426726498894</v>
      </c>
      <c r="S126" s="191">
        <f t="shared" si="37"/>
        <v>5.157426726498894</v>
      </c>
      <c r="T126" s="191">
        <f t="shared" si="37"/>
        <v>5.157426726498894</v>
      </c>
      <c r="U126" s="191">
        <f t="shared" si="37"/>
        <v>5.157426726498894</v>
      </c>
      <c r="V126" s="191">
        <f t="shared" si="37"/>
        <v>5.157426726498894</v>
      </c>
      <c r="W126" s="191">
        <f t="shared" si="37"/>
        <v>7.2722766253928866</v>
      </c>
      <c r="X126" s="191">
        <f t="shared" si="37"/>
        <v>7.2722766253928866</v>
      </c>
      <c r="Y126" s="191">
        <f t="shared" si="37"/>
        <v>7.2722766253928866</v>
      </c>
      <c r="Z126" s="191">
        <f t="shared" si="37"/>
        <v>7.2722766253928866</v>
      </c>
      <c r="AA126" s="191">
        <f t="shared" si="37"/>
        <v>7.2722766253928866</v>
      </c>
      <c r="AB126" s="191">
        <f t="shared" si="37"/>
        <v>8.657780801769924</v>
      </c>
      <c r="AC126" s="191">
        <f t="shared" si="37"/>
        <v>8.657780801769924</v>
      </c>
      <c r="AD126" s="191">
        <f t="shared" si="37"/>
        <v>8.657780801769924</v>
      </c>
      <c r="AE126" s="191">
        <f t="shared" si="37"/>
        <v>8.657780801769924</v>
      </c>
      <c r="AF126" s="191">
        <f t="shared" si="37"/>
        <v>8.657780801769924</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162</v>
      </c>
      <c r="G127" s="91" t="s">
        <v>272</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0.22303605893423567</v>
      </c>
      <c r="S127" s="352">
        <f t="shared" si="39"/>
        <v>0.22303605893423567</v>
      </c>
      <c r="T127" s="352">
        <f t="shared" si="39"/>
        <v>0.22303605893423567</v>
      </c>
      <c r="U127" s="352">
        <f t="shared" si="39"/>
        <v>0.22303605893423567</v>
      </c>
      <c r="V127" s="352">
        <f t="shared" si="39"/>
        <v>0.22303605893423567</v>
      </c>
      <c r="W127" s="352">
        <f t="shared" si="39"/>
        <v>0.11885406809484486</v>
      </c>
      <c r="X127" s="352">
        <f t="shared" si="39"/>
        <v>0.11885406809484486</v>
      </c>
      <c r="Y127" s="352">
        <f t="shared" si="39"/>
        <v>0.11885406809484486</v>
      </c>
      <c r="Z127" s="352">
        <f t="shared" si="39"/>
        <v>0.11885406809484486</v>
      </c>
      <c r="AA127" s="352">
        <f t="shared" si="39"/>
        <v>0.11885406809484486</v>
      </c>
      <c r="AB127" s="352">
        <f t="shared" si="39"/>
        <v>8.1602449681017319E-2</v>
      </c>
      <c r="AC127" s="352">
        <f t="shared" si="39"/>
        <v>8.1602449681017319E-2</v>
      </c>
      <c r="AD127" s="352">
        <f t="shared" si="39"/>
        <v>8.1602449681017319E-2</v>
      </c>
      <c r="AE127" s="352">
        <f t="shared" si="39"/>
        <v>8.1602449681017319E-2</v>
      </c>
      <c r="AF127" s="352">
        <f t="shared" si="39"/>
        <v>8.1602449681017319E-2</v>
      </c>
      <c r="AG127" s="352">
        <f t="shared" si="39"/>
        <v>0</v>
      </c>
      <c r="AH127" s="352">
        <f t="shared" si="39"/>
        <v>0</v>
      </c>
      <c r="AI127" s="352">
        <f t="shared" si="39"/>
        <v>0</v>
      </c>
      <c r="AJ127" s="352">
        <f t="shared" si="39"/>
        <v>0.19787136915965053</v>
      </c>
      <c r="AK127" s="352">
        <f t="shared" si="39"/>
        <v>0</v>
      </c>
      <c r="AL127" s="352">
        <f t="shared" si="39"/>
        <v>0.16337193391660304</v>
      </c>
      <c r="AM127" s="352">
        <f t="shared" si="39"/>
        <v>0</v>
      </c>
      <c r="AN127" s="352">
        <f t="shared" si="39"/>
        <v>0.14703085117058712</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886</v>
      </c>
      <c r="I129" t="s">
        <v>154</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892</v>
      </c>
    </row>
    <row r="130" spans="3:43" x14ac:dyDescent="0.25">
      <c r="E130" s="100"/>
      <c r="F130" s="90" t="s">
        <v>156</v>
      </c>
      <c r="G130" s="90" t="s">
        <v>269</v>
      </c>
      <c r="H130" s="276"/>
      <c r="I130" s="264"/>
      <c r="J130" s="281">
        <f t="shared" ref="J130:J136" si="40" xml:space="preserve"> J110 * (1 - J75) + J44</f>
        <v>7.0511007998940602</v>
      </c>
      <c r="K130" s="281">
        <f t="shared" ref="K130:AJ130" si="41" xml:space="preserve"> K110 * (1 - K75) + K44</f>
        <v>7.0511007998940602</v>
      </c>
      <c r="L130" s="281">
        <f t="shared" si="41"/>
        <v>8.0988929687621685</v>
      </c>
      <c r="M130" s="281">
        <f t="shared" si="41"/>
        <v>8.0988929687621685</v>
      </c>
      <c r="N130" s="281">
        <f t="shared" si="41"/>
        <v>8.0988929687621685</v>
      </c>
      <c r="O130" s="281">
        <f t="shared" si="41"/>
        <v>8.0988929687621685</v>
      </c>
      <c r="P130" s="281">
        <f t="shared" si="41"/>
        <v>8.0988929687621685</v>
      </c>
      <c r="Q130" s="281">
        <f t="shared" si="41"/>
        <v>8.0988929687621685</v>
      </c>
      <c r="R130" s="281">
        <f t="shared" si="41"/>
        <v>6.0265827232234823</v>
      </c>
      <c r="S130" s="281">
        <f t="shared" si="41"/>
        <v>6.0265827232234823</v>
      </c>
      <c r="T130" s="281">
        <f t="shared" si="41"/>
        <v>6.0265827232234823</v>
      </c>
      <c r="U130" s="281">
        <f t="shared" si="41"/>
        <v>6.0265827232234823</v>
      </c>
      <c r="V130" s="281">
        <f t="shared" si="41"/>
        <v>6.0265827232234823</v>
      </c>
      <c r="W130" s="278"/>
      <c r="X130" s="278"/>
      <c r="Y130" s="278"/>
      <c r="Z130" s="278"/>
      <c r="AA130" s="278"/>
      <c r="AB130" s="278"/>
      <c r="AC130" s="278"/>
      <c r="AD130" s="278"/>
      <c r="AE130" s="278"/>
      <c r="AF130" s="278"/>
      <c r="AG130" s="281">
        <f t="shared" si="41"/>
        <v>19.752784370060823</v>
      </c>
      <c r="AH130" s="281">
        <f t="shared" si="41"/>
        <v>-8.6828864111564013</v>
      </c>
      <c r="AI130" s="278"/>
      <c r="AJ130" s="281">
        <f t="shared" si="41"/>
        <v>-8.6828864111564013</v>
      </c>
      <c r="AK130" s="278"/>
      <c r="AL130" s="278"/>
      <c r="AM130" s="278"/>
      <c r="AN130" s="278"/>
      <c r="AO130" s="278"/>
      <c r="AP130" s="266"/>
      <c r="AQ130" s="266"/>
    </row>
    <row r="131" spans="3:43" x14ac:dyDescent="0.25">
      <c r="E131" s="100"/>
      <c r="F131" t="s">
        <v>157</v>
      </c>
      <c r="G131" t="s">
        <v>269</v>
      </c>
      <c r="H131" s="277"/>
      <c r="I131" s="266"/>
      <c r="J131" s="354">
        <f t="shared" si="40"/>
        <v>0.76855165715014129</v>
      </c>
      <c r="K131" s="354">
        <f t="shared" ref="K131:AJ131" si="42" xml:space="preserve"> K111 * (1 - K76) + K45</f>
        <v>0.76855165715014129</v>
      </c>
      <c r="L131" s="354">
        <f t="shared" si="42"/>
        <v>0.8827582797167377</v>
      </c>
      <c r="M131" s="354">
        <f t="shared" si="42"/>
        <v>0.8827582797167377</v>
      </c>
      <c r="N131" s="354">
        <f t="shared" si="42"/>
        <v>0.8827582797167377</v>
      </c>
      <c r="O131" s="354">
        <f t="shared" si="42"/>
        <v>0.8827582797167377</v>
      </c>
      <c r="P131" s="354">
        <f t="shared" si="42"/>
        <v>0.8827582797167377</v>
      </c>
      <c r="Q131" s="354">
        <f t="shared" si="42"/>
        <v>0.8827582797167377</v>
      </c>
      <c r="R131" s="354">
        <f t="shared" si="42"/>
        <v>0.61729795267181597</v>
      </c>
      <c r="S131" s="354">
        <f t="shared" si="42"/>
        <v>0.61729795267181597</v>
      </c>
      <c r="T131" s="354">
        <f t="shared" si="42"/>
        <v>0.61729795267181597</v>
      </c>
      <c r="U131" s="354">
        <f t="shared" si="42"/>
        <v>0.61729795267181597</v>
      </c>
      <c r="V131" s="354">
        <f t="shared" si="42"/>
        <v>0.61729795267181597</v>
      </c>
      <c r="W131" s="292"/>
      <c r="X131" s="292"/>
      <c r="Y131" s="292"/>
      <c r="Z131" s="292"/>
      <c r="AA131" s="292"/>
      <c r="AB131" s="292"/>
      <c r="AC131" s="292"/>
      <c r="AD131" s="292"/>
      <c r="AE131" s="292"/>
      <c r="AF131" s="292"/>
      <c r="AG131" s="354">
        <f t="shared" si="42"/>
        <v>1.5851840804224049</v>
      </c>
      <c r="AH131" s="354">
        <f t="shared" si="42"/>
        <v>-0.94641204678863167</v>
      </c>
      <c r="AI131" s="292"/>
      <c r="AJ131" s="354">
        <f t="shared" si="42"/>
        <v>-0.94641204678863167</v>
      </c>
      <c r="AK131" s="292"/>
      <c r="AL131" s="292"/>
      <c r="AM131" s="292"/>
      <c r="AN131" s="292"/>
      <c r="AO131" s="292"/>
      <c r="AP131" s="266"/>
      <c r="AQ131" s="266"/>
    </row>
    <row r="132" spans="3:43" x14ac:dyDescent="0.25">
      <c r="E132" s="100"/>
      <c r="F132" t="s">
        <v>158</v>
      </c>
      <c r="G132" t="s">
        <v>269</v>
      </c>
      <c r="H132" s="277"/>
      <c r="I132" s="266"/>
      <c r="J132" s="354">
        <f t="shared" si="40"/>
        <v>1.5502146286079085E-2</v>
      </c>
      <c r="K132" s="354">
        <f t="shared" ref="K132:AJ132" si="43" xml:space="preserve"> K112 * (1 - K77) + K46</f>
        <v>1.5502146286079085E-2</v>
      </c>
      <c r="L132" s="354">
        <f t="shared" si="43"/>
        <v>1.7805762124253676E-2</v>
      </c>
      <c r="M132" s="354">
        <f t="shared" si="43"/>
        <v>1.7805762124253676E-2</v>
      </c>
      <c r="N132" s="354">
        <f t="shared" si="43"/>
        <v>1.7805762124253676E-2</v>
      </c>
      <c r="O132" s="354">
        <f t="shared" si="43"/>
        <v>1.7805762124253676E-2</v>
      </c>
      <c r="P132" s="354">
        <f t="shared" si="43"/>
        <v>1.7805762124253676E-2</v>
      </c>
      <c r="Q132" s="354">
        <f t="shared" si="43"/>
        <v>1.7805762124253676E-2</v>
      </c>
      <c r="R132" s="354">
        <f t="shared" si="43"/>
        <v>1.2649104264844675E-2</v>
      </c>
      <c r="S132" s="354">
        <f t="shared" si="43"/>
        <v>1.2649104264844675E-2</v>
      </c>
      <c r="T132" s="354">
        <f t="shared" si="43"/>
        <v>1.2649104264844675E-2</v>
      </c>
      <c r="U132" s="354">
        <f t="shared" si="43"/>
        <v>1.2649104264844675E-2</v>
      </c>
      <c r="V132" s="354">
        <f t="shared" si="43"/>
        <v>1.2649104264844675E-2</v>
      </c>
      <c r="W132" s="292"/>
      <c r="X132" s="292"/>
      <c r="Y132" s="292"/>
      <c r="Z132" s="292"/>
      <c r="AA132" s="292"/>
      <c r="AB132" s="292"/>
      <c r="AC132" s="292"/>
      <c r="AD132" s="292"/>
      <c r="AE132" s="292"/>
      <c r="AF132" s="292"/>
      <c r="AG132" s="354">
        <f t="shared" si="43"/>
        <v>0.89178318170725801</v>
      </c>
      <c r="AH132" s="354">
        <f t="shared" si="43"/>
        <v>-1.9089696651787637E-2</v>
      </c>
      <c r="AI132" s="292"/>
      <c r="AJ132" s="354">
        <f t="shared" si="43"/>
        <v>-1.9089696651787637E-2</v>
      </c>
      <c r="AK132" s="292"/>
      <c r="AL132" s="292"/>
      <c r="AM132" s="292"/>
      <c r="AN132" s="292"/>
      <c r="AO132" s="292"/>
      <c r="AP132" s="266"/>
      <c r="AQ132" s="266"/>
    </row>
    <row r="133" spans="3:43" x14ac:dyDescent="0.25">
      <c r="E133" s="100"/>
      <c r="F133" t="s">
        <v>159</v>
      </c>
      <c r="G133" t="s">
        <v>270</v>
      </c>
      <c r="H133" s="63"/>
      <c r="J133" s="191">
        <f t="shared" si="40"/>
        <v>8.9398591127884544</v>
      </c>
      <c r="K133" s="191">
        <f t="shared" ref="K133:AJ133" si="44" xml:space="preserve"> K113 * (1 - K78) + K47</f>
        <v>0</v>
      </c>
      <c r="L133" s="191">
        <f t="shared" si="44"/>
        <v>5.0777548395375369</v>
      </c>
      <c r="M133" s="191">
        <f t="shared" si="44"/>
        <v>11.137421705572125</v>
      </c>
      <c r="N133" s="191">
        <f t="shared" si="44"/>
        <v>18.053188374808986</v>
      </c>
      <c r="O133" s="191">
        <f t="shared" si="44"/>
        <v>33.161560080534592</v>
      </c>
      <c r="P133" s="191">
        <f t="shared" si="44"/>
        <v>87.235682444897307</v>
      </c>
      <c r="Q133" s="191">
        <f t="shared" si="44"/>
        <v>0</v>
      </c>
      <c r="R133" s="191">
        <f t="shared" si="44"/>
        <v>16.883984851068757</v>
      </c>
      <c r="S133" s="191">
        <f t="shared" si="44"/>
        <v>177.72784351284204</v>
      </c>
      <c r="T133" s="191">
        <f t="shared" si="44"/>
        <v>294.10522832317594</v>
      </c>
      <c r="U133" s="191">
        <f t="shared" si="44"/>
        <v>491.01387220843833</v>
      </c>
      <c r="V133" s="191">
        <f t="shared" si="44"/>
        <v>1018.8417593392826</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160</v>
      </c>
      <c r="G134" t="s">
        <v>271</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3.0926726339954906</v>
      </c>
      <c r="S134" s="191">
        <f t="shared" si="45"/>
        <v>3.0926726339954906</v>
      </c>
      <c r="T134" s="191">
        <f t="shared" si="45"/>
        <v>3.0926726339954906</v>
      </c>
      <c r="U134" s="191">
        <f t="shared" si="45"/>
        <v>3.0926726339954906</v>
      </c>
      <c r="V134" s="191">
        <f t="shared" si="45"/>
        <v>3.0926726339954906</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161</v>
      </c>
      <c r="G135" t="s">
        <v>271</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3.0926726339954906</v>
      </c>
      <c r="S135" s="191">
        <f t="shared" si="46"/>
        <v>3.0926726339954906</v>
      </c>
      <c r="T135" s="191">
        <f t="shared" si="46"/>
        <v>3.0926726339954906</v>
      </c>
      <c r="U135" s="191">
        <f t="shared" si="46"/>
        <v>3.0926726339954906</v>
      </c>
      <c r="V135" s="191">
        <f t="shared" si="46"/>
        <v>3.0926726339954906</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162</v>
      </c>
      <c r="G136" s="91" t="s">
        <v>272</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0.13374451105936891</v>
      </c>
      <c r="S136" s="352">
        <f t="shared" si="47"/>
        <v>0.13374451105936891</v>
      </c>
      <c r="T136" s="352">
        <f t="shared" si="47"/>
        <v>0.13374451105936891</v>
      </c>
      <c r="U136" s="352">
        <f t="shared" si="47"/>
        <v>0.13374451105936891</v>
      </c>
      <c r="V136" s="352">
        <f t="shared" si="47"/>
        <v>0.13374451105936891</v>
      </c>
      <c r="W136" s="274"/>
      <c r="X136" s="274"/>
      <c r="Y136" s="274"/>
      <c r="Z136" s="274"/>
      <c r="AA136" s="274"/>
      <c r="AB136" s="274"/>
      <c r="AC136" s="274"/>
      <c r="AD136" s="274"/>
      <c r="AE136" s="274"/>
      <c r="AF136" s="274"/>
      <c r="AG136" s="352">
        <f t="shared" si="47"/>
        <v>0</v>
      </c>
      <c r="AH136" s="352">
        <f t="shared" si="47"/>
        <v>0</v>
      </c>
      <c r="AI136" s="274"/>
      <c r="AJ136" s="352">
        <f t="shared" si="47"/>
        <v>0.19787136915965053</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887</v>
      </c>
      <c r="I138" t="s">
        <v>154</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892</v>
      </c>
    </row>
    <row r="139" spans="3:43" x14ac:dyDescent="0.25">
      <c r="C139" s="100"/>
      <c r="F139" s="90" t="s">
        <v>156</v>
      </c>
      <c r="G139" s="90" t="s">
        <v>269</v>
      </c>
      <c r="H139" s="276"/>
      <c r="I139" s="264"/>
      <c r="J139" s="281">
        <f t="shared" ref="J139:J145" si="48">J110 * (1 - J84) + J44</f>
        <v>4.652202363883716</v>
      </c>
      <c r="K139" s="281">
        <f t="shared" ref="K139:AN139" si="49">K110 * (1 - K84) + K44</f>
        <v>4.652202363883716</v>
      </c>
      <c r="L139" s="281">
        <f t="shared" si="49"/>
        <v>5.3435187048641621</v>
      </c>
      <c r="M139" s="281">
        <f t="shared" si="49"/>
        <v>5.3435187048641621</v>
      </c>
      <c r="N139" s="281">
        <f t="shared" si="49"/>
        <v>5.3435187048641621</v>
      </c>
      <c r="O139" s="281">
        <f t="shared" si="49"/>
        <v>5.3435187048641621</v>
      </c>
      <c r="P139" s="281">
        <f t="shared" si="49"/>
        <v>5.3435187048641621</v>
      </c>
      <c r="Q139" s="281">
        <f t="shared" si="49"/>
        <v>5.3435187048641621</v>
      </c>
      <c r="R139" s="281">
        <f t="shared" si="49"/>
        <v>3.9762418928321499</v>
      </c>
      <c r="S139" s="281">
        <f t="shared" si="49"/>
        <v>3.9762418928321499</v>
      </c>
      <c r="T139" s="281">
        <f t="shared" si="49"/>
        <v>3.9762418928321499</v>
      </c>
      <c r="U139" s="281">
        <f t="shared" si="49"/>
        <v>3.9762418928321499</v>
      </c>
      <c r="V139" s="281">
        <f t="shared" si="49"/>
        <v>3.9762418928321499</v>
      </c>
      <c r="W139" s="281">
        <f t="shared" si="49"/>
        <v>3.6387780532953813</v>
      </c>
      <c r="X139" s="281">
        <f t="shared" si="49"/>
        <v>3.6387780532953813</v>
      </c>
      <c r="Y139" s="281">
        <f t="shared" si="49"/>
        <v>3.6387780532953813</v>
      </c>
      <c r="Z139" s="281">
        <f t="shared" si="49"/>
        <v>3.6387780532953813</v>
      </c>
      <c r="AA139" s="281">
        <f t="shared" si="49"/>
        <v>3.6387780532953813</v>
      </c>
      <c r="AB139" s="281">
        <f t="shared" si="49"/>
        <v>2.9881163411449529</v>
      </c>
      <c r="AC139" s="281">
        <f t="shared" si="49"/>
        <v>2.9881163411449529</v>
      </c>
      <c r="AD139" s="281">
        <f t="shared" si="49"/>
        <v>2.9881163411449529</v>
      </c>
      <c r="AE139" s="281">
        <f t="shared" si="49"/>
        <v>2.9881163411449529</v>
      </c>
      <c r="AF139" s="281">
        <f t="shared" si="49"/>
        <v>2.9881163411449529</v>
      </c>
      <c r="AG139" s="281">
        <f t="shared" si="49"/>
        <v>13.032567927700443</v>
      </c>
      <c r="AH139" s="281">
        <f t="shared" si="49"/>
        <v>-8.6828864111564013</v>
      </c>
      <c r="AI139" s="281">
        <f t="shared" si="49"/>
        <v>-7.4909886820067939</v>
      </c>
      <c r="AJ139" s="281">
        <f t="shared" si="49"/>
        <v>-8.6828864111564013</v>
      </c>
      <c r="AK139" s="278"/>
      <c r="AL139" s="281">
        <f t="shared" si="49"/>
        <v>-7.4909886820067939</v>
      </c>
      <c r="AM139" s="278"/>
      <c r="AN139" s="281">
        <f t="shared" si="49"/>
        <v>-4.6866256396748103</v>
      </c>
      <c r="AO139" s="278"/>
      <c r="AP139" s="266"/>
      <c r="AQ139" s="266"/>
    </row>
    <row r="140" spans="3:43" x14ac:dyDescent="0.25">
      <c r="C140" s="100"/>
      <c r="F140" t="s">
        <v>157</v>
      </c>
      <c r="G140" t="s">
        <v>269</v>
      </c>
      <c r="H140" s="277"/>
      <c r="I140" s="266"/>
      <c r="J140" s="354">
        <f t="shared" si="48"/>
        <v>0.50707796380025572</v>
      </c>
      <c r="K140" s="354">
        <f t="shared" ref="K140:AN140" si="50">K111 * (1 - K85) + K45</f>
        <v>0.50707796380025572</v>
      </c>
      <c r="L140" s="354">
        <f t="shared" si="50"/>
        <v>0.58242964782149076</v>
      </c>
      <c r="M140" s="354">
        <f t="shared" si="50"/>
        <v>0.58242964782149076</v>
      </c>
      <c r="N140" s="354">
        <f t="shared" si="50"/>
        <v>0.58242964782149076</v>
      </c>
      <c r="O140" s="354">
        <f t="shared" si="50"/>
        <v>0.58242964782149076</v>
      </c>
      <c r="P140" s="354">
        <f t="shared" si="50"/>
        <v>0.58242964782149076</v>
      </c>
      <c r="Q140" s="354">
        <f t="shared" si="50"/>
        <v>0.58242964782149076</v>
      </c>
      <c r="R140" s="354">
        <f t="shared" si="50"/>
        <v>0.40728321380450949</v>
      </c>
      <c r="S140" s="354">
        <f t="shared" si="50"/>
        <v>0.40728321380450949</v>
      </c>
      <c r="T140" s="354">
        <f t="shared" si="50"/>
        <v>0.40728321380450949</v>
      </c>
      <c r="U140" s="354">
        <f t="shared" si="50"/>
        <v>0.40728321380450949</v>
      </c>
      <c r="V140" s="354">
        <f t="shared" si="50"/>
        <v>0.40728321380450949</v>
      </c>
      <c r="W140" s="354">
        <f t="shared" si="50"/>
        <v>0.30017388988500282</v>
      </c>
      <c r="X140" s="354">
        <f t="shared" si="50"/>
        <v>0.30017388988500282</v>
      </c>
      <c r="Y140" s="354">
        <f t="shared" si="50"/>
        <v>0.30017388988500282</v>
      </c>
      <c r="Z140" s="354">
        <f t="shared" si="50"/>
        <v>0.30017388988500282</v>
      </c>
      <c r="AA140" s="354">
        <f t="shared" si="50"/>
        <v>0.30017388988500282</v>
      </c>
      <c r="AB140" s="354">
        <f t="shared" si="50"/>
        <v>0.21746449978538385</v>
      </c>
      <c r="AC140" s="354">
        <f t="shared" si="50"/>
        <v>0.21746449978538385</v>
      </c>
      <c r="AD140" s="354">
        <f t="shared" si="50"/>
        <v>0.21746449978538385</v>
      </c>
      <c r="AE140" s="354">
        <f t="shared" si="50"/>
        <v>0.21746449978538385</v>
      </c>
      <c r="AF140" s="354">
        <f t="shared" si="50"/>
        <v>0.21746449978538385</v>
      </c>
      <c r="AG140" s="354">
        <f t="shared" si="50"/>
        <v>1.0458788401156804</v>
      </c>
      <c r="AH140" s="354">
        <f t="shared" si="50"/>
        <v>-0.94641204678863167</v>
      </c>
      <c r="AI140" s="354">
        <f t="shared" si="50"/>
        <v>-0.79108714654520906</v>
      </c>
      <c r="AJ140" s="354">
        <f t="shared" si="50"/>
        <v>-0.94641204678863167</v>
      </c>
      <c r="AK140" s="292"/>
      <c r="AL140" s="354">
        <f t="shared" si="50"/>
        <v>-0.79108714654520906</v>
      </c>
      <c r="AM140" s="292"/>
      <c r="AN140" s="354">
        <f t="shared" si="50"/>
        <v>-0.38661403033964564</v>
      </c>
      <c r="AO140" s="292"/>
      <c r="AP140" s="266"/>
      <c r="AQ140" s="266"/>
    </row>
    <row r="141" spans="3:43" x14ac:dyDescent="0.25">
      <c r="C141" s="100"/>
      <c r="F141" t="s">
        <v>158</v>
      </c>
      <c r="G141" t="s">
        <v>269</v>
      </c>
      <c r="H141" s="277"/>
      <c r="I141" s="266"/>
      <c r="J141" s="354">
        <f t="shared" si="48"/>
        <v>1.0228065609053816E-2</v>
      </c>
      <c r="K141" s="354">
        <f t="shared" ref="K141:AN141" si="51">K112 * (1 - K86) + K46</f>
        <v>1.0228065609053816E-2</v>
      </c>
      <c r="L141" s="354">
        <f t="shared" si="51"/>
        <v>1.1747954113271033E-2</v>
      </c>
      <c r="M141" s="354">
        <f t="shared" si="51"/>
        <v>1.1747954113271033E-2</v>
      </c>
      <c r="N141" s="354">
        <f t="shared" si="51"/>
        <v>1.1747954113271033E-2</v>
      </c>
      <c r="O141" s="354">
        <f t="shared" si="51"/>
        <v>1.1747954113271033E-2</v>
      </c>
      <c r="P141" s="354">
        <f t="shared" si="51"/>
        <v>1.1747954113271033E-2</v>
      </c>
      <c r="Q141" s="354">
        <f t="shared" si="51"/>
        <v>1.1747954113271033E-2</v>
      </c>
      <c r="R141" s="354">
        <f t="shared" si="51"/>
        <v>8.3456745878326011E-3</v>
      </c>
      <c r="S141" s="354">
        <f t="shared" si="51"/>
        <v>8.3456745878326011E-3</v>
      </c>
      <c r="T141" s="354">
        <f t="shared" si="51"/>
        <v>8.3456745878326011E-3</v>
      </c>
      <c r="U141" s="354">
        <f t="shared" si="51"/>
        <v>8.3456745878326011E-3</v>
      </c>
      <c r="V141" s="354">
        <f t="shared" si="51"/>
        <v>8.3456745878326011E-3</v>
      </c>
      <c r="W141" s="354">
        <f t="shared" si="51"/>
        <v>6.5366996842808993E-3</v>
      </c>
      <c r="X141" s="354">
        <f t="shared" si="51"/>
        <v>6.5366996842808993E-3</v>
      </c>
      <c r="Y141" s="354">
        <f t="shared" si="51"/>
        <v>6.5366996842808993E-3</v>
      </c>
      <c r="Z141" s="354">
        <f t="shared" si="51"/>
        <v>6.5366996842808993E-3</v>
      </c>
      <c r="AA141" s="354">
        <f t="shared" si="51"/>
        <v>6.5366996842808993E-3</v>
      </c>
      <c r="AB141" s="354">
        <f t="shared" si="51"/>
        <v>4.9273216425862083E-3</v>
      </c>
      <c r="AC141" s="354">
        <f t="shared" si="51"/>
        <v>4.9273216425862083E-3</v>
      </c>
      <c r="AD141" s="354">
        <f t="shared" si="51"/>
        <v>4.9273216425862083E-3</v>
      </c>
      <c r="AE141" s="354">
        <f t="shared" si="51"/>
        <v>4.9273216425862083E-3</v>
      </c>
      <c r="AF141" s="354">
        <f t="shared" si="51"/>
        <v>4.9273216425862083E-3</v>
      </c>
      <c r="AG141" s="354">
        <f t="shared" si="51"/>
        <v>0.58838413231485509</v>
      </c>
      <c r="AH141" s="354">
        <f t="shared" si="51"/>
        <v>-1.9089696651787637E-2</v>
      </c>
      <c r="AI141" s="354">
        <f t="shared" si="51"/>
        <v>-1.608370245700632E-2</v>
      </c>
      <c r="AJ141" s="354">
        <f t="shared" si="51"/>
        <v>-1.9089696651787637E-2</v>
      </c>
      <c r="AK141" s="292"/>
      <c r="AL141" s="354">
        <f t="shared" si="51"/>
        <v>-1.608370245700632E-2</v>
      </c>
      <c r="AM141" s="292"/>
      <c r="AN141" s="354">
        <f t="shared" si="51"/>
        <v>-8.4190527398232233E-3</v>
      </c>
      <c r="AO141" s="292"/>
      <c r="AP141" s="266"/>
      <c r="AQ141" s="266"/>
    </row>
    <row r="142" spans="3:43" x14ac:dyDescent="0.25">
      <c r="C142" s="100"/>
      <c r="F142" t="s">
        <v>159</v>
      </c>
      <c r="G142" t="s">
        <v>270</v>
      </c>
      <c r="H142" s="63"/>
      <c r="J142" s="191">
        <f t="shared" si="48"/>
        <v>5.9389655167398718</v>
      </c>
      <c r="K142" s="191">
        <f t="shared" ref="K142:AN142" si="52">K113 * (1 - K87) + K47</f>
        <v>0</v>
      </c>
      <c r="L142" s="191">
        <f t="shared" si="52"/>
        <v>3.3632497532146641</v>
      </c>
      <c r="M142" s="191">
        <f t="shared" si="52"/>
        <v>7.361320028842762</v>
      </c>
      <c r="N142" s="191">
        <f t="shared" si="52"/>
        <v>11.924231120281892</v>
      </c>
      <c r="O142" s="191">
        <f t="shared" si="52"/>
        <v>21.892490624509453</v>
      </c>
      <c r="P142" s="191">
        <f t="shared" si="52"/>
        <v>57.569722737288949</v>
      </c>
      <c r="Q142" s="191">
        <f t="shared" si="52"/>
        <v>0</v>
      </c>
      <c r="R142" s="191">
        <f t="shared" si="52"/>
        <v>11.152809529331554</v>
      </c>
      <c r="S142" s="191">
        <f t="shared" si="52"/>
        <v>117.2749882810128</v>
      </c>
      <c r="T142" s="191">
        <f t="shared" si="52"/>
        <v>194.05890615173368</v>
      </c>
      <c r="U142" s="191">
        <f t="shared" si="52"/>
        <v>323.97604739667491</v>
      </c>
      <c r="V142" s="191">
        <f t="shared" si="52"/>
        <v>672.2283577693695</v>
      </c>
      <c r="W142" s="191">
        <f t="shared" si="52"/>
        <v>6.5922066984387815</v>
      </c>
      <c r="X142" s="191">
        <f t="shared" si="52"/>
        <v>183.89430268039985</v>
      </c>
      <c r="Y142" s="191">
        <f t="shared" si="52"/>
        <v>312.17992342741906</v>
      </c>
      <c r="Z142" s="191">
        <f t="shared" si="52"/>
        <v>529.23710900039816</v>
      </c>
      <c r="AA142" s="191">
        <f t="shared" si="52"/>
        <v>1111.0746220062358</v>
      </c>
      <c r="AB142" s="191">
        <f t="shared" si="52"/>
        <v>114.04676409711865</v>
      </c>
      <c r="AC142" s="191">
        <f t="shared" si="52"/>
        <v>1136.9872770766783</v>
      </c>
      <c r="AD142" s="191">
        <f t="shared" si="52"/>
        <v>3357.256738374313</v>
      </c>
      <c r="AE142" s="191">
        <f t="shared" si="52"/>
        <v>6438.2666670161798</v>
      </c>
      <c r="AF142" s="191">
        <f t="shared" si="52"/>
        <v>17128.808691985825</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160</v>
      </c>
      <c r="G143" t="s">
        <v>271</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2.04049542715493</v>
      </c>
      <c r="S143" s="191">
        <f t="shared" si="53"/>
        <v>2.04049542715493</v>
      </c>
      <c r="T143" s="191">
        <f t="shared" si="53"/>
        <v>2.04049542715493</v>
      </c>
      <c r="U143" s="191">
        <f t="shared" si="53"/>
        <v>2.04049542715493</v>
      </c>
      <c r="V143" s="191">
        <f t="shared" si="53"/>
        <v>2.04049542715493</v>
      </c>
      <c r="W143" s="191">
        <f t="shared" si="53"/>
        <v>4.8070723832420121</v>
      </c>
      <c r="X143" s="191">
        <f t="shared" si="53"/>
        <v>4.8070723832420121</v>
      </c>
      <c r="Y143" s="191">
        <f t="shared" si="53"/>
        <v>4.8070723832420121</v>
      </c>
      <c r="Z143" s="191">
        <f t="shared" si="53"/>
        <v>4.8070723832420121</v>
      </c>
      <c r="AA143" s="191">
        <f t="shared" si="53"/>
        <v>4.8070723832420121</v>
      </c>
      <c r="AB143" s="191">
        <f t="shared" si="53"/>
        <v>6.5752210059900795</v>
      </c>
      <c r="AC143" s="191">
        <f t="shared" si="53"/>
        <v>6.5752210059900795</v>
      </c>
      <c r="AD143" s="191">
        <f t="shared" si="53"/>
        <v>6.5752210059900795</v>
      </c>
      <c r="AE143" s="191">
        <f t="shared" si="53"/>
        <v>6.5752210059900795</v>
      </c>
      <c r="AF143" s="191">
        <f t="shared" si="53"/>
        <v>6.5752210059900795</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161</v>
      </c>
      <c r="G144" t="s">
        <v>271</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2.04049542715493</v>
      </c>
      <c r="S144" s="191">
        <f t="shared" si="54"/>
        <v>2.04049542715493</v>
      </c>
      <c r="T144" s="191">
        <f t="shared" si="54"/>
        <v>2.04049542715493</v>
      </c>
      <c r="U144" s="191">
        <f t="shared" si="54"/>
        <v>2.04049542715493</v>
      </c>
      <c r="V144" s="191">
        <f t="shared" si="54"/>
        <v>2.04049542715493</v>
      </c>
      <c r="W144" s="191">
        <f t="shared" si="54"/>
        <v>4.8070723832420121</v>
      </c>
      <c r="X144" s="191">
        <f t="shared" si="54"/>
        <v>4.8070723832420121</v>
      </c>
      <c r="Y144" s="191">
        <f t="shared" si="54"/>
        <v>4.8070723832420121</v>
      </c>
      <c r="Z144" s="191">
        <f t="shared" si="54"/>
        <v>4.8070723832420121</v>
      </c>
      <c r="AA144" s="191">
        <f t="shared" si="54"/>
        <v>4.8070723832420121</v>
      </c>
      <c r="AB144" s="191">
        <f t="shared" si="54"/>
        <v>6.5752210059900795</v>
      </c>
      <c r="AC144" s="191">
        <f t="shared" si="54"/>
        <v>6.5752210059900795</v>
      </c>
      <c r="AD144" s="191">
        <f t="shared" si="54"/>
        <v>6.5752210059900795</v>
      </c>
      <c r="AE144" s="191">
        <f t="shared" si="54"/>
        <v>6.5752210059900795</v>
      </c>
      <c r="AF144" s="191">
        <f t="shared" si="54"/>
        <v>6.5752210059900795</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162</v>
      </c>
      <c r="G145" s="91" t="s">
        <v>272</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8.8242467121760079E-2</v>
      </c>
      <c r="S145" s="352">
        <f t="shared" si="55"/>
        <v>8.8242467121760079E-2</v>
      </c>
      <c r="T145" s="352">
        <f t="shared" si="55"/>
        <v>8.8242467121760079E-2</v>
      </c>
      <c r="U145" s="352">
        <f t="shared" si="55"/>
        <v>8.8242467121760079E-2</v>
      </c>
      <c r="V145" s="352">
        <f t="shared" si="55"/>
        <v>8.8242467121760079E-2</v>
      </c>
      <c r="W145" s="352">
        <f t="shared" si="55"/>
        <v>7.8564133050126869E-2</v>
      </c>
      <c r="X145" s="352">
        <f t="shared" si="55"/>
        <v>7.8564133050126869E-2</v>
      </c>
      <c r="Y145" s="352">
        <f t="shared" si="55"/>
        <v>7.8564133050126869E-2</v>
      </c>
      <c r="Z145" s="352">
        <f t="shared" si="55"/>
        <v>7.8564133050126869E-2</v>
      </c>
      <c r="AA145" s="352">
        <f t="shared" si="55"/>
        <v>7.8564133050126869E-2</v>
      </c>
      <c r="AB145" s="352">
        <f t="shared" si="55"/>
        <v>6.1973634302820983E-2</v>
      </c>
      <c r="AC145" s="352">
        <f t="shared" si="55"/>
        <v>6.1973634302820983E-2</v>
      </c>
      <c r="AD145" s="352">
        <f t="shared" si="55"/>
        <v>6.1973634302820983E-2</v>
      </c>
      <c r="AE145" s="352">
        <f t="shared" si="55"/>
        <v>6.1973634302820983E-2</v>
      </c>
      <c r="AF145" s="352">
        <f t="shared" si="55"/>
        <v>6.1973634302820983E-2</v>
      </c>
      <c r="AG145" s="352">
        <f t="shared" si="55"/>
        <v>0</v>
      </c>
      <c r="AH145" s="352">
        <f t="shared" si="55"/>
        <v>0</v>
      </c>
      <c r="AI145" s="352">
        <f t="shared" si="55"/>
        <v>0</v>
      </c>
      <c r="AJ145" s="352">
        <f t="shared" si="55"/>
        <v>0.19787136915965053</v>
      </c>
      <c r="AK145" s="274"/>
      <c r="AL145" s="352">
        <f t="shared" si="55"/>
        <v>0.16337193391660304</v>
      </c>
      <c r="AM145" s="274"/>
      <c r="AN145" s="352">
        <f t="shared" si="55"/>
        <v>0.14703085117058712</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752</v>
      </c>
      <c r="F149" s="60"/>
      <c r="I149" t="s">
        <v>154</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155</v>
      </c>
    </row>
    <row r="150" spans="1:43" x14ac:dyDescent="0.25">
      <c r="E150" s="100"/>
      <c r="F150" s="90" t="s">
        <v>156</v>
      </c>
      <c r="G150" s="90" t="s">
        <v>269</v>
      </c>
      <c r="H150" s="276"/>
      <c r="I150" s="264"/>
      <c r="J150" s="350">
        <f t="shared" ref="J150" si="56">ROUND(J121, $H95)</f>
        <v>11.759</v>
      </c>
      <c r="K150" s="350">
        <f t="shared" ref="K150:AO150" si="57">ROUND(K121, $H95)</f>
        <v>11.759</v>
      </c>
      <c r="L150" s="350">
        <f t="shared" si="57"/>
        <v>13.506</v>
      </c>
      <c r="M150" s="350">
        <f t="shared" si="57"/>
        <v>13.506</v>
      </c>
      <c r="N150" s="350">
        <f t="shared" si="57"/>
        <v>13.506</v>
      </c>
      <c r="O150" s="350">
        <f t="shared" si="57"/>
        <v>13.506</v>
      </c>
      <c r="P150" s="350">
        <f t="shared" si="57"/>
        <v>13.506</v>
      </c>
      <c r="Q150" s="350">
        <f t="shared" si="57"/>
        <v>13.506</v>
      </c>
      <c r="R150" s="350">
        <f t="shared" si="57"/>
        <v>10.050000000000001</v>
      </c>
      <c r="S150" s="350">
        <f t="shared" si="57"/>
        <v>10.050000000000001</v>
      </c>
      <c r="T150" s="350">
        <f t="shared" si="57"/>
        <v>10.050000000000001</v>
      </c>
      <c r="U150" s="350">
        <f t="shared" si="57"/>
        <v>10.050000000000001</v>
      </c>
      <c r="V150" s="350">
        <f t="shared" si="57"/>
        <v>10.050000000000001</v>
      </c>
      <c r="W150" s="350">
        <f t="shared" si="57"/>
        <v>5.5049999999999999</v>
      </c>
      <c r="X150" s="350">
        <f t="shared" si="57"/>
        <v>5.5049999999999999</v>
      </c>
      <c r="Y150" s="350">
        <f t="shared" si="57"/>
        <v>5.5049999999999999</v>
      </c>
      <c r="Z150" s="350">
        <f t="shared" si="57"/>
        <v>5.5049999999999999</v>
      </c>
      <c r="AA150" s="350">
        <f t="shared" si="57"/>
        <v>5.5049999999999999</v>
      </c>
      <c r="AB150" s="350">
        <f t="shared" si="57"/>
        <v>3.9350000000000001</v>
      </c>
      <c r="AC150" s="350">
        <f t="shared" si="57"/>
        <v>3.9350000000000001</v>
      </c>
      <c r="AD150" s="350">
        <f t="shared" si="57"/>
        <v>3.9350000000000001</v>
      </c>
      <c r="AE150" s="350">
        <f t="shared" si="57"/>
        <v>3.9350000000000001</v>
      </c>
      <c r="AF150" s="350">
        <f t="shared" si="57"/>
        <v>3.9350000000000001</v>
      </c>
      <c r="AG150" s="350">
        <f t="shared" si="57"/>
        <v>32.94</v>
      </c>
      <c r="AH150" s="350">
        <f t="shared" si="57"/>
        <v>-8.6829999999999998</v>
      </c>
      <c r="AI150" s="350">
        <f t="shared" si="57"/>
        <v>-7.4909999999999997</v>
      </c>
      <c r="AJ150" s="350">
        <f t="shared" si="57"/>
        <v>-8.6829999999999998</v>
      </c>
      <c r="AK150" s="350">
        <f t="shared" si="57"/>
        <v>-8.6829999999999998</v>
      </c>
      <c r="AL150" s="350">
        <f t="shared" si="57"/>
        <v>-7.4909999999999997</v>
      </c>
      <c r="AM150" s="350">
        <f t="shared" si="57"/>
        <v>-7.4909999999999997</v>
      </c>
      <c r="AN150" s="350">
        <f t="shared" si="57"/>
        <v>-4.6870000000000003</v>
      </c>
      <c r="AO150" s="350">
        <f t="shared" si="57"/>
        <v>-4.6870000000000003</v>
      </c>
      <c r="AP150" s="266"/>
      <c r="AQ150" s="266"/>
    </row>
    <row r="151" spans="1:43" x14ac:dyDescent="0.25">
      <c r="E151" s="100"/>
      <c r="F151" t="s">
        <v>157</v>
      </c>
      <c r="G151" t="s">
        <v>269</v>
      </c>
      <c r="H151" s="277"/>
      <c r="I151" s="266"/>
      <c r="J151" s="295">
        <f t="shared" ref="J151:J156" si="58">ROUND(J122, $H96)</f>
        <v>1.282</v>
      </c>
      <c r="K151" s="295">
        <f t="shared" ref="K151:AO151" si="59">ROUND(K122, $H96)</f>
        <v>1.282</v>
      </c>
      <c r="L151" s="295">
        <f t="shared" si="59"/>
        <v>1.472</v>
      </c>
      <c r="M151" s="295">
        <f t="shared" si="59"/>
        <v>1.472</v>
      </c>
      <c r="N151" s="295">
        <f t="shared" si="59"/>
        <v>1.472</v>
      </c>
      <c r="O151" s="295">
        <f t="shared" si="59"/>
        <v>1.472</v>
      </c>
      <c r="P151" s="295">
        <f t="shared" si="59"/>
        <v>1.472</v>
      </c>
      <c r="Q151" s="295">
        <f t="shared" si="59"/>
        <v>1.472</v>
      </c>
      <c r="R151" s="295">
        <f t="shared" si="59"/>
        <v>1.0289999999999999</v>
      </c>
      <c r="S151" s="295">
        <f t="shared" si="59"/>
        <v>1.0289999999999999</v>
      </c>
      <c r="T151" s="295">
        <f t="shared" si="59"/>
        <v>1.0289999999999999</v>
      </c>
      <c r="U151" s="295">
        <f t="shared" si="59"/>
        <v>1.0289999999999999</v>
      </c>
      <c r="V151" s="295">
        <f t="shared" si="59"/>
        <v>1.0289999999999999</v>
      </c>
      <c r="W151" s="295">
        <f t="shared" si="59"/>
        <v>0.45400000000000001</v>
      </c>
      <c r="X151" s="295">
        <f t="shared" si="59"/>
        <v>0.45400000000000001</v>
      </c>
      <c r="Y151" s="295">
        <f t="shared" si="59"/>
        <v>0.45400000000000001</v>
      </c>
      <c r="Z151" s="295">
        <f t="shared" si="59"/>
        <v>0.45400000000000001</v>
      </c>
      <c r="AA151" s="295">
        <f t="shared" si="59"/>
        <v>0.45400000000000001</v>
      </c>
      <c r="AB151" s="295">
        <f t="shared" si="59"/>
        <v>0.28599999999999998</v>
      </c>
      <c r="AC151" s="295">
        <f t="shared" si="59"/>
        <v>0.28599999999999998</v>
      </c>
      <c r="AD151" s="295">
        <f t="shared" si="59"/>
        <v>0.28599999999999998</v>
      </c>
      <c r="AE151" s="295">
        <f t="shared" si="59"/>
        <v>0.28599999999999998</v>
      </c>
      <c r="AF151" s="295">
        <f t="shared" si="59"/>
        <v>0.28599999999999998</v>
      </c>
      <c r="AG151" s="295">
        <f t="shared" si="59"/>
        <v>2.6429999999999998</v>
      </c>
      <c r="AH151" s="295">
        <f t="shared" si="59"/>
        <v>-0.94599999999999995</v>
      </c>
      <c r="AI151" s="295">
        <f t="shared" si="59"/>
        <v>-0.79100000000000004</v>
      </c>
      <c r="AJ151" s="295">
        <f t="shared" si="59"/>
        <v>-0.94599999999999995</v>
      </c>
      <c r="AK151" s="295">
        <f t="shared" si="59"/>
        <v>-0.94599999999999995</v>
      </c>
      <c r="AL151" s="295">
        <f t="shared" si="59"/>
        <v>-0.79100000000000004</v>
      </c>
      <c r="AM151" s="295">
        <f t="shared" si="59"/>
        <v>-0.79100000000000004</v>
      </c>
      <c r="AN151" s="295">
        <f t="shared" si="59"/>
        <v>-0.38700000000000001</v>
      </c>
      <c r="AO151" s="295">
        <f t="shared" si="59"/>
        <v>-0.38700000000000001</v>
      </c>
      <c r="AP151" s="266"/>
      <c r="AQ151" s="266"/>
    </row>
    <row r="152" spans="1:43" x14ac:dyDescent="0.25">
      <c r="E152" s="100"/>
      <c r="F152" t="s">
        <v>158</v>
      </c>
      <c r="G152" t="s">
        <v>269</v>
      </c>
      <c r="H152" s="277"/>
      <c r="I152" s="266"/>
      <c r="J152" s="295">
        <f t="shared" si="58"/>
        <v>2.5999999999999999E-2</v>
      </c>
      <c r="K152" s="295">
        <f t="shared" ref="K152:AO152" si="60">ROUND(K123, $H97)</f>
        <v>2.5999999999999999E-2</v>
      </c>
      <c r="L152" s="295">
        <f t="shared" si="60"/>
        <v>0.03</v>
      </c>
      <c r="M152" s="295">
        <f t="shared" si="60"/>
        <v>0.03</v>
      </c>
      <c r="N152" s="295">
        <f t="shared" si="60"/>
        <v>0.03</v>
      </c>
      <c r="O152" s="295">
        <f t="shared" si="60"/>
        <v>0.03</v>
      </c>
      <c r="P152" s="295">
        <f t="shared" si="60"/>
        <v>0.03</v>
      </c>
      <c r="Q152" s="295">
        <f t="shared" si="60"/>
        <v>0.03</v>
      </c>
      <c r="R152" s="295">
        <f t="shared" si="60"/>
        <v>2.1000000000000001E-2</v>
      </c>
      <c r="S152" s="295">
        <f t="shared" si="60"/>
        <v>2.1000000000000001E-2</v>
      </c>
      <c r="T152" s="295">
        <f t="shared" si="60"/>
        <v>2.1000000000000001E-2</v>
      </c>
      <c r="U152" s="295">
        <f t="shared" si="60"/>
        <v>2.1000000000000001E-2</v>
      </c>
      <c r="V152" s="295">
        <f t="shared" si="60"/>
        <v>2.1000000000000001E-2</v>
      </c>
      <c r="W152" s="295">
        <f t="shared" si="60"/>
        <v>0.01</v>
      </c>
      <c r="X152" s="295">
        <f t="shared" si="60"/>
        <v>0.01</v>
      </c>
      <c r="Y152" s="295">
        <f t="shared" si="60"/>
        <v>0.01</v>
      </c>
      <c r="Z152" s="295">
        <f t="shared" si="60"/>
        <v>0.01</v>
      </c>
      <c r="AA152" s="295">
        <f t="shared" si="60"/>
        <v>0.01</v>
      </c>
      <c r="AB152" s="295">
        <f t="shared" si="60"/>
        <v>6.0000000000000001E-3</v>
      </c>
      <c r="AC152" s="295">
        <f t="shared" si="60"/>
        <v>6.0000000000000001E-3</v>
      </c>
      <c r="AD152" s="295">
        <f t="shared" si="60"/>
        <v>6.0000000000000001E-3</v>
      </c>
      <c r="AE152" s="295">
        <f t="shared" si="60"/>
        <v>6.0000000000000001E-3</v>
      </c>
      <c r="AF152" s="295">
        <f t="shared" si="60"/>
        <v>6.0000000000000001E-3</v>
      </c>
      <c r="AG152" s="295">
        <f t="shared" si="60"/>
        <v>1.4870000000000001</v>
      </c>
      <c r="AH152" s="295">
        <f t="shared" si="60"/>
        <v>-1.9E-2</v>
      </c>
      <c r="AI152" s="295">
        <f t="shared" si="60"/>
        <v>-1.6E-2</v>
      </c>
      <c r="AJ152" s="295">
        <f t="shared" si="60"/>
        <v>-1.9E-2</v>
      </c>
      <c r="AK152" s="295">
        <f t="shared" si="60"/>
        <v>-1.9E-2</v>
      </c>
      <c r="AL152" s="295">
        <f t="shared" si="60"/>
        <v>-1.6E-2</v>
      </c>
      <c r="AM152" s="295">
        <f t="shared" si="60"/>
        <v>-1.6E-2</v>
      </c>
      <c r="AN152" s="295">
        <f t="shared" si="60"/>
        <v>-8.0000000000000002E-3</v>
      </c>
      <c r="AO152" s="295">
        <f t="shared" si="60"/>
        <v>-8.0000000000000002E-3</v>
      </c>
      <c r="AP152" s="266"/>
      <c r="AQ152" s="266"/>
    </row>
    <row r="153" spans="1:43" x14ac:dyDescent="0.25">
      <c r="E153" s="100"/>
      <c r="F153" t="s">
        <v>159</v>
      </c>
      <c r="G153" t="s">
        <v>270</v>
      </c>
      <c r="H153" s="63"/>
      <c r="J153" s="164">
        <f t="shared" si="58"/>
        <v>14.83</v>
      </c>
      <c r="K153" s="164">
        <f t="shared" ref="K153:AO153" si="61">ROUND(K124, $H98)</f>
        <v>0</v>
      </c>
      <c r="L153" s="164">
        <f t="shared" si="61"/>
        <v>8.44</v>
      </c>
      <c r="M153" s="164">
        <f t="shared" si="61"/>
        <v>18.55</v>
      </c>
      <c r="N153" s="164">
        <f t="shared" si="61"/>
        <v>30.08</v>
      </c>
      <c r="O153" s="164">
        <f t="shared" si="61"/>
        <v>55.28</v>
      </c>
      <c r="P153" s="164">
        <f t="shared" si="61"/>
        <v>145.44999999999999</v>
      </c>
      <c r="Q153" s="164">
        <f t="shared" si="61"/>
        <v>0</v>
      </c>
      <c r="R153" s="164">
        <f t="shared" si="61"/>
        <v>28.13</v>
      </c>
      <c r="S153" s="164">
        <f t="shared" si="61"/>
        <v>296.36</v>
      </c>
      <c r="T153" s="164">
        <f t="shared" si="61"/>
        <v>490.43</v>
      </c>
      <c r="U153" s="164">
        <f t="shared" si="61"/>
        <v>818.8</v>
      </c>
      <c r="V153" s="164">
        <f t="shared" si="61"/>
        <v>1699.02</v>
      </c>
      <c r="W153" s="164">
        <f t="shared" si="61"/>
        <v>9.9499999999999993</v>
      </c>
      <c r="X153" s="164">
        <f t="shared" si="61"/>
        <v>278.18</v>
      </c>
      <c r="Y153" s="164">
        <f t="shared" si="61"/>
        <v>472.26</v>
      </c>
      <c r="Z153" s="164">
        <f t="shared" si="61"/>
        <v>800.63</v>
      </c>
      <c r="AA153" s="164">
        <f t="shared" si="61"/>
        <v>1680.85</v>
      </c>
      <c r="AB153" s="164">
        <f t="shared" si="61"/>
        <v>150.16</v>
      </c>
      <c r="AC153" s="164">
        <f t="shared" si="61"/>
        <v>1497.09</v>
      </c>
      <c r="AD153" s="164">
        <f t="shared" si="61"/>
        <v>4420.58</v>
      </c>
      <c r="AE153" s="164">
        <f t="shared" si="61"/>
        <v>8477.44</v>
      </c>
      <c r="AF153" s="164">
        <f t="shared" si="61"/>
        <v>22553.98</v>
      </c>
      <c r="AG153" s="164">
        <f t="shared" si="61"/>
        <v>0</v>
      </c>
      <c r="AH153" s="164">
        <f t="shared" si="61"/>
        <v>0</v>
      </c>
      <c r="AI153" s="164">
        <f t="shared" si="61"/>
        <v>0</v>
      </c>
      <c r="AJ153" s="164">
        <f t="shared" si="61"/>
        <v>0</v>
      </c>
      <c r="AK153" s="164">
        <f t="shared" si="61"/>
        <v>0</v>
      </c>
      <c r="AL153" s="164">
        <f t="shared" si="61"/>
        <v>0</v>
      </c>
      <c r="AM153" s="164">
        <f t="shared" si="61"/>
        <v>0</v>
      </c>
      <c r="AN153" s="164">
        <f t="shared" si="61"/>
        <v>109.62</v>
      </c>
      <c r="AO153" s="164">
        <f t="shared" si="61"/>
        <v>109.62</v>
      </c>
    </row>
    <row r="154" spans="1:43" x14ac:dyDescent="0.25">
      <c r="E154" s="100"/>
      <c r="F154" t="s">
        <v>160</v>
      </c>
      <c r="G154" t="s">
        <v>271</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5.16</v>
      </c>
      <c r="S154" s="164">
        <f t="shared" si="62"/>
        <v>5.16</v>
      </c>
      <c r="T154" s="164">
        <f t="shared" si="62"/>
        <v>5.16</v>
      </c>
      <c r="U154" s="164">
        <f t="shared" si="62"/>
        <v>5.16</v>
      </c>
      <c r="V154" s="164">
        <f t="shared" si="62"/>
        <v>5.16</v>
      </c>
      <c r="W154" s="164">
        <f t="shared" si="62"/>
        <v>7.27</v>
      </c>
      <c r="X154" s="164">
        <f t="shared" si="62"/>
        <v>7.27</v>
      </c>
      <c r="Y154" s="164">
        <f t="shared" si="62"/>
        <v>7.27</v>
      </c>
      <c r="Z154" s="164">
        <f t="shared" si="62"/>
        <v>7.27</v>
      </c>
      <c r="AA154" s="164">
        <f t="shared" si="62"/>
        <v>7.27</v>
      </c>
      <c r="AB154" s="164">
        <f t="shared" si="62"/>
        <v>8.66</v>
      </c>
      <c r="AC154" s="164">
        <f t="shared" si="62"/>
        <v>8.66</v>
      </c>
      <c r="AD154" s="164">
        <f t="shared" si="62"/>
        <v>8.66</v>
      </c>
      <c r="AE154" s="164">
        <f t="shared" si="62"/>
        <v>8.66</v>
      </c>
      <c r="AF154" s="164">
        <f t="shared" si="62"/>
        <v>8.66</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161</v>
      </c>
      <c r="G155" t="s">
        <v>271</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5.16</v>
      </c>
      <c r="S155" s="164">
        <f t="shared" si="63"/>
        <v>5.16</v>
      </c>
      <c r="T155" s="164">
        <f t="shared" si="63"/>
        <v>5.16</v>
      </c>
      <c r="U155" s="164">
        <f t="shared" si="63"/>
        <v>5.16</v>
      </c>
      <c r="V155" s="164">
        <f t="shared" si="63"/>
        <v>5.16</v>
      </c>
      <c r="W155" s="164">
        <f t="shared" si="63"/>
        <v>7.27</v>
      </c>
      <c r="X155" s="164">
        <f t="shared" si="63"/>
        <v>7.27</v>
      </c>
      <c r="Y155" s="164">
        <f t="shared" si="63"/>
        <v>7.27</v>
      </c>
      <c r="Z155" s="164">
        <f t="shared" si="63"/>
        <v>7.27</v>
      </c>
      <c r="AA155" s="164">
        <f t="shared" si="63"/>
        <v>7.27</v>
      </c>
      <c r="AB155" s="164">
        <f t="shared" si="63"/>
        <v>8.66</v>
      </c>
      <c r="AC155" s="164">
        <f t="shared" si="63"/>
        <v>8.66</v>
      </c>
      <c r="AD155" s="164">
        <f t="shared" si="63"/>
        <v>8.66</v>
      </c>
      <c r="AE155" s="164">
        <f t="shared" si="63"/>
        <v>8.66</v>
      </c>
      <c r="AF155" s="164">
        <f t="shared" si="63"/>
        <v>8.66</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162</v>
      </c>
      <c r="G156" s="91" t="s">
        <v>272</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0.223</v>
      </c>
      <c r="S156" s="283">
        <f t="shared" si="64"/>
        <v>0.223</v>
      </c>
      <c r="T156" s="283">
        <f t="shared" si="64"/>
        <v>0.223</v>
      </c>
      <c r="U156" s="283">
        <f t="shared" si="64"/>
        <v>0.223</v>
      </c>
      <c r="V156" s="283">
        <f t="shared" si="64"/>
        <v>0.223</v>
      </c>
      <c r="W156" s="283">
        <f t="shared" si="64"/>
        <v>0.11899999999999999</v>
      </c>
      <c r="X156" s="283">
        <f t="shared" si="64"/>
        <v>0.11899999999999999</v>
      </c>
      <c r="Y156" s="283">
        <f t="shared" si="64"/>
        <v>0.11899999999999999</v>
      </c>
      <c r="Z156" s="283">
        <f t="shared" si="64"/>
        <v>0.11899999999999999</v>
      </c>
      <c r="AA156" s="283">
        <f t="shared" si="64"/>
        <v>0.11899999999999999</v>
      </c>
      <c r="AB156" s="283">
        <f t="shared" si="64"/>
        <v>8.2000000000000003E-2</v>
      </c>
      <c r="AC156" s="283">
        <f t="shared" si="64"/>
        <v>8.2000000000000003E-2</v>
      </c>
      <c r="AD156" s="283">
        <f t="shared" si="64"/>
        <v>8.2000000000000003E-2</v>
      </c>
      <c r="AE156" s="283">
        <f t="shared" si="64"/>
        <v>8.2000000000000003E-2</v>
      </c>
      <c r="AF156" s="283">
        <f t="shared" si="64"/>
        <v>8.2000000000000003E-2</v>
      </c>
      <c r="AG156" s="283">
        <f t="shared" si="64"/>
        <v>0</v>
      </c>
      <c r="AH156" s="283">
        <f t="shared" si="64"/>
        <v>0</v>
      </c>
      <c r="AI156" s="283">
        <f t="shared" si="64"/>
        <v>0</v>
      </c>
      <c r="AJ156" s="283">
        <f t="shared" si="64"/>
        <v>0.19800000000000001</v>
      </c>
      <c r="AK156" s="283">
        <f t="shared" si="64"/>
        <v>0</v>
      </c>
      <c r="AL156" s="283">
        <f t="shared" si="64"/>
        <v>0.16300000000000001</v>
      </c>
      <c r="AM156" s="283">
        <f t="shared" si="64"/>
        <v>0</v>
      </c>
      <c r="AN156" s="283">
        <f t="shared" si="64"/>
        <v>0.14699999999999999</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753</v>
      </c>
      <c r="I158" t="s">
        <v>154</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155</v>
      </c>
    </row>
    <row r="159" spans="1:43" x14ac:dyDescent="0.25">
      <c r="E159" s="100"/>
      <c r="F159" s="90" t="s">
        <v>156</v>
      </c>
      <c r="G159" s="90" t="s">
        <v>269</v>
      </c>
      <c r="H159" s="276"/>
      <c r="I159" s="264"/>
      <c r="J159" s="350">
        <f>ROUND(J130, $H95)</f>
        <v>7.0510000000000002</v>
      </c>
      <c r="K159" s="350">
        <f t="shared" ref="K159:AO159" si="65">ROUND(K130, $H95)</f>
        <v>7.0510000000000002</v>
      </c>
      <c r="L159" s="350">
        <f t="shared" si="65"/>
        <v>8.0990000000000002</v>
      </c>
      <c r="M159" s="350">
        <f t="shared" si="65"/>
        <v>8.0990000000000002</v>
      </c>
      <c r="N159" s="350">
        <f t="shared" si="65"/>
        <v>8.0990000000000002</v>
      </c>
      <c r="O159" s="350">
        <f t="shared" si="65"/>
        <v>8.0990000000000002</v>
      </c>
      <c r="P159" s="350">
        <f t="shared" si="65"/>
        <v>8.0990000000000002</v>
      </c>
      <c r="Q159" s="350">
        <f t="shared" si="65"/>
        <v>8.0990000000000002</v>
      </c>
      <c r="R159" s="350">
        <f t="shared" si="65"/>
        <v>6.0270000000000001</v>
      </c>
      <c r="S159" s="350">
        <f t="shared" si="65"/>
        <v>6.0270000000000001</v>
      </c>
      <c r="T159" s="350">
        <f t="shared" si="65"/>
        <v>6.0270000000000001</v>
      </c>
      <c r="U159" s="350">
        <f t="shared" si="65"/>
        <v>6.0270000000000001</v>
      </c>
      <c r="V159" s="350">
        <f t="shared" si="65"/>
        <v>6.0270000000000001</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19.753</v>
      </c>
      <c r="AH159" s="350">
        <f t="shared" si="65"/>
        <v>-8.6829999999999998</v>
      </c>
      <c r="AI159" s="278">
        <f t="shared" si="65"/>
        <v>0</v>
      </c>
      <c r="AJ159" s="350">
        <f t="shared" si="65"/>
        <v>-8.6829999999999998</v>
      </c>
      <c r="AK159" s="278">
        <f t="shared" si="65"/>
        <v>0</v>
      </c>
      <c r="AL159" s="278">
        <f t="shared" si="65"/>
        <v>0</v>
      </c>
      <c r="AM159" s="278">
        <f t="shared" si="65"/>
        <v>0</v>
      </c>
      <c r="AN159" s="278">
        <f t="shared" si="65"/>
        <v>0</v>
      </c>
      <c r="AO159" s="278">
        <f t="shared" si="65"/>
        <v>0</v>
      </c>
      <c r="AP159" s="266"/>
      <c r="AQ159" s="266"/>
    </row>
    <row r="160" spans="1:43" x14ac:dyDescent="0.25">
      <c r="E160" s="100"/>
      <c r="F160" t="s">
        <v>157</v>
      </c>
      <c r="G160" t="s">
        <v>269</v>
      </c>
      <c r="H160" s="277"/>
      <c r="I160" s="266"/>
      <c r="J160" s="295">
        <f t="shared" ref="J160:J165" si="66">ROUND(J131, $H96)</f>
        <v>0.76900000000000002</v>
      </c>
      <c r="K160" s="295">
        <f t="shared" ref="K160:AO160" si="67">ROUND(K131, $H96)</f>
        <v>0.76900000000000002</v>
      </c>
      <c r="L160" s="295">
        <f t="shared" si="67"/>
        <v>0.88300000000000001</v>
      </c>
      <c r="M160" s="295">
        <f t="shared" si="67"/>
        <v>0.88300000000000001</v>
      </c>
      <c r="N160" s="295">
        <f t="shared" si="67"/>
        <v>0.88300000000000001</v>
      </c>
      <c r="O160" s="295">
        <f t="shared" si="67"/>
        <v>0.88300000000000001</v>
      </c>
      <c r="P160" s="295">
        <f t="shared" si="67"/>
        <v>0.88300000000000001</v>
      </c>
      <c r="Q160" s="295">
        <f t="shared" si="67"/>
        <v>0.88300000000000001</v>
      </c>
      <c r="R160" s="295">
        <f t="shared" si="67"/>
        <v>0.61699999999999999</v>
      </c>
      <c r="S160" s="295">
        <f t="shared" si="67"/>
        <v>0.61699999999999999</v>
      </c>
      <c r="T160" s="295">
        <f t="shared" si="67"/>
        <v>0.61699999999999999</v>
      </c>
      <c r="U160" s="295">
        <f t="shared" si="67"/>
        <v>0.61699999999999999</v>
      </c>
      <c r="V160" s="295">
        <f t="shared" si="67"/>
        <v>0.61699999999999999</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1.585</v>
      </c>
      <c r="AH160" s="295">
        <f t="shared" si="67"/>
        <v>-0.94599999999999995</v>
      </c>
      <c r="AI160" s="292">
        <f t="shared" si="67"/>
        <v>0</v>
      </c>
      <c r="AJ160" s="295">
        <f t="shared" si="67"/>
        <v>-0.94599999999999995</v>
      </c>
      <c r="AK160" s="292">
        <f t="shared" si="67"/>
        <v>0</v>
      </c>
      <c r="AL160" s="292">
        <f t="shared" si="67"/>
        <v>0</v>
      </c>
      <c r="AM160" s="292">
        <f t="shared" si="67"/>
        <v>0</v>
      </c>
      <c r="AN160" s="292">
        <f t="shared" si="67"/>
        <v>0</v>
      </c>
      <c r="AO160" s="292">
        <f t="shared" si="67"/>
        <v>0</v>
      </c>
      <c r="AP160" s="266"/>
      <c r="AQ160" s="266"/>
    </row>
    <row r="161" spans="2:43" x14ac:dyDescent="0.25">
      <c r="E161" s="100"/>
      <c r="F161" t="s">
        <v>158</v>
      </c>
      <c r="G161" t="s">
        <v>269</v>
      </c>
      <c r="H161" s="277"/>
      <c r="I161" s="266"/>
      <c r="J161" s="295">
        <f t="shared" si="66"/>
        <v>1.6E-2</v>
      </c>
      <c r="K161" s="295">
        <f t="shared" ref="K161:AO161" si="68">ROUND(K132, $H97)</f>
        <v>1.6E-2</v>
      </c>
      <c r="L161" s="295">
        <f t="shared" si="68"/>
        <v>1.7999999999999999E-2</v>
      </c>
      <c r="M161" s="295">
        <f t="shared" si="68"/>
        <v>1.7999999999999999E-2</v>
      </c>
      <c r="N161" s="295">
        <f t="shared" si="68"/>
        <v>1.7999999999999999E-2</v>
      </c>
      <c r="O161" s="295">
        <f t="shared" si="68"/>
        <v>1.7999999999999999E-2</v>
      </c>
      <c r="P161" s="295">
        <f t="shared" si="68"/>
        <v>1.7999999999999999E-2</v>
      </c>
      <c r="Q161" s="295">
        <f t="shared" si="68"/>
        <v>1.7999999999999999E-2</v>
      </c>
      <c r="R161" s="295">
        <f t="shared" si="68"/>
        <v>1.2999999999999999E-2</v>
      </c>
      <c r="S161" s="295">
        <f t="shared" si="68"/>
        <v>1.2999999999999999E-2</v>
      </c>
      <c r="T161" s="295">
        <f t="shared" si="68"/>
        <v>1.2999999999999999E-2</v>
      </c>
      <c r="U161" s="295">
        <f t="shared" si="68"/>
        <v>1.2999999999999999E-2</v>
      </c>
      <c r="V161" s="295">
        <f t="shared" si="68"/>
        <v>1.2999999999999999E-2</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0.89200000000000002</v>
      </c>
      <c r="AH161" s="295">
        <f t="shared" si="68"/>
        <v>-1.9E-2</v>
      </c>
      <c r="AI161" s="292">
        <f t="shared" si="68"/>
        <v>0</v>
      </c>
      <c r="AJ161" s="295">
        <f t="shared" si="68"/>
        <v>-1.9E-2</v>
      </c>
      <c r="AK161" s="292">
        <f t="shared" si="68"/>
        <v>0</v>
      </c>
      <c r="AL161" s="292">
        <f t="shared" si="68"/>
        <v>0</v>
      </c>
      <c r="AM161" s="292">
        <f t="shared" si="68"/>
        <v>0</v>
      </c>
      <c r="AN161" s="292">
        <f t="shared" si="68"/>
        <v>0</v>
      </c>
      <c r="AO161" s="292">
        <f t="shared" si="68"/>
        <v>0</v>
      </c>
      <c r="AP161" s="266"/>
      <c r="AQ161" s="266"/>
    </row>
    <row r="162" spans="2:43" x14ac:dyDescent="0.25">
      <c r="E162" s="100"/>
      <c r="F162" t="s">
        <v>159</v>
      </c>
      <c r="G162" t="s">
        <v>270</v>
      </c>
      <c r="H162" s="63"/>
      <c r="J162" s="164">
        <f t="shared" si="66"/>
        <v>8.94</v>
      </c>
      <c r="K162" s="164">
        <f t="shared" ref="K162:AO162" si="69">ROUND(K133, $H98)</f>
        <v>0</v>
      </c>
      <c r="L162" s="164">
        <f t="shared" si="69"/>
        <v>5.08</v>
      </c>
      <c r="M162" s="164">
        <f t="shared" si="69"/>
        <v>11.14</v>
      </c>
      <c r="N162" s="164">
        <f t="shared" si="69"/>
        <v>18.05</v>
      </c>
      <c r="O162" s="164">
        <f t="shared" si="69"/>
        <v>33.159999999999997</v>
      </c>
      <c r="P162" s="164">
        <f t="shared" si="69"/>
        <v>87.24</v>
      </c>
      <c r="Q162" s="164">
        <f t="shared" si="69"/>
        <v>0</v>
      </c>
      <c r="R162" s="164">
        <f t="shared" si="69"/>
        <v>16.88</v>
      </c>
      <c r="S162" s="164">
        <f t="shared" si="69"/>
        <v>177.73</v>
      </c>
      <c r="T162" s="164">
        <f t="shared" si="69"/>
        <v>294.11</v>
      </c>
      <c r="U162" s="164">
        <f t="shared" si="69"/>
        <v>491.01</v>
      </c>
      <c r="V162" s="164">
        <f t="shared" si="69"/>
        <v>1018.84</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160</v>
      </c>
      <c r="G163" t="s">
        <v>271</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3.09</v>
      </c>
      <c r="S163" s="164">
        <f t="shared" si="70"/>
        <v>3.09</v>
      </c>
      <c r="T163" s="164">
        <f t="shared" si="70"/>
        <v>3.09</v>
      </c>
      <c r="U163" s="164">
        <f t="shared" si="70"/>
        <v>3.09</v>
      </c>
      <c r="V163" s="164">
        <f t="shared" si="70"/>
        <v>3.09</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161</v>
      </c>
      <c r="G164" t="s">
        <v>271</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3.09</v>
      </c>
      <c r="S164" s="164">
        <f t="shared" si="71"/>
        <v>3.09</v>
      </c>
      <c r="T164" s="164">
        <f t="shared" si="71"/>
        <v>3.09</v>
      </c>
      <c r="U164" s="164">
        <f t="shared" si="71"/>
        <v>3.09</v>
      </c>
      <c r="V164" s="164">
        <f t="shared" si="71"/>
        <v>3.09</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162</v>
      </c>
      <c r="G165" s="91" t="s">
        <v>272</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0.13400000000000001</v>
      </c>
      <c r="S165" s="283">
        <f t="shared" si="72"/>
        <v>0.13400000000000001</v>
      </c>
      <c r="T165" s="283">
        <f t="shared" si="72"/>
        <v>0.13400000000000001</v>
      </c>
      <c r="U165" s="283">
        <f t="shared" si="72"/>
        <v>0.13400000000000001</v>
      </c>
      <c r="V165" s="283">
        <f t="shared" si="72"/>
        <v>0.13400000000000001</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0.19800000000000001</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754</v>
      </c>
      <c r="I167" t="s">
        <v>154</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155</v>
      </c>
    </row>
    <row r="168" spans="2:43" x14ac:dyDescent="0.25">
      <c r="C168" s="100"/>
      <c r="F168" s="90" t="s">
        <v>156</v>
      </c>
      <c r="G168" s="90" t="s">
        <v>269</v>
      </c>
      <c r="H168" s="276"/>
      <c r="I168" s="264"/>
      <c r="J168" s="350">
        <f t="shared" ref="J168" si="73">ROUND( J139, $H95)</f>
        <v>4.6520000000000001</v>
      </c>
      <c r="K168" s="350">
        <f t="shared" ref="K168:AO168" si="74">ROUND( K139, $H95)</f>
        <v>4.6520000000000001</v>
      </c>
      <c r="L168" s="350">
        <f t="shared" si="74"/>
        <v>5.3440000000000003</v>
      </c>
      <c r="M168" s="350">
        <f t="shared" si="74"/>
        <v>5.3440000000000003</v>
      </c>
      <c r="N168" s="350">
        <f t="shared" si="74"/>
        <v>5.3440000000000003</v>
      </c>
      <c r="O168" s="350">
        <f t="shared" si="74"/>
        <v>5.3440000000000003</v>
      </c>
      <c r="P168" s="350">
        <f t="shared" si="74"/>
        <v>5.3440000000000003</v>
      </c>
      <c r="Q168" s="350">
        <f t="shared" si="74"/>
        <v>5.3440000000000003</v>
      </c>
      <c r="R168" s="350">
        <f t="shared" si="74"/>
        <v>3.976</v>
      </c>
      <c r="S168" s="350">
        <f t="shared" si="74"/>
        <v>3.976</v>
      </c>
      <c r="T168" s="350">
        <f t="shared" si="74"/>
        <v>3.976</v>
      </c>
      <c r="U168" s="350">
        <f t="shared" si="74"/>
        <v>3.976</v>
      </c>
      <c r="V168" s="350">
        <f t="shared" si="74"/>
        <v>3.976</v>
      </c>
      <c r="W168" s="350">
        <f t="shared" si="74"/>
        <v>3.6389999999999998</v>
      </c>
      <c r="X168" s="350">
        <f t="shared" si="74"/>
        <v>3.6389999999999998</v>
      </c>
      <c r="Y168" s="350">
        <f t="shared" si="74"/>
        <v>3.6389999999999998</v>
      </c>
      <c r="Z168" s="350">
        <f t="shared" si="74"/>
        <v>3.6389999999999998</v>
      </c>
      <c r="AA168" s="350">
        <f t="shared" si="74"/>
        <v>3.6389999999999998</v>
      </c>
      <c r="AB168" s="350">
        <f t="shared" si="74"/>
        <v>2.988</v>
      </c>
      <c r="AC168" s="350">
        <f t="shared" si="74"/>
        <v>2.988</v>
      </c>
      <c r="AD168" s="350">
        <f t="shared" si="74"/>
        <v>2.988</v>
      </c>
      <c r="AE168" s="350">
        <f t="shared" si="74"/>
        <v>2.988</v>
      </c>
      <c r="AF168" s="350">
        <f t="shared" si="74"/>
        <v>2.988</v>
      </c>
      <c r="AG168" s="350">
        <f t="shared" si="74"/>
        <v>13.032999999999999</v>
      </c>
      <c r="AH168" s="350">
        <f t="shared" si="74"/>
        <v>-8.6829999999999998</v>
      </c>
      <c r="AI168" s="350">
        <f t="shared" si="74"/>
        <v>-7.4909999999999997</v>
      </c>
      <c r="AJ168" s="350">
        <f t="shared" si="74"/>
        <v>-8.6829999999999998</v>
      </c>
      <c r="AK168" s="278">
        <f t="shared" si="74"/>
        <v>0</v>
      </c>
      <c r="AL168" s="350">
        <f t="shared" si="74"/>
        <v>-7.4909999999999997</v>
      </c>
      <c r="AM168" s="278">
        <f t="shared" si="74"/>
        <v>0</v>
      </c>
      <c r="AN168" s="350">
        <f t="shared" si="74"/>
        <v>-4.6870000000000003</v>
      </c>
      <c r="AO168" s="278">
        <f t="shared" si="74"/>
        <v>0</v>
      </c>
      <c r="AP168" s="266"/>
      <c r="AQ168" s="266"/>
    </row>
    <row r="169" spans="2:43" x14ac:dyDescent="0.25">
      <c r="C169" s="100"/>
      <c r="F169" t="s">
        <v>157</v>
      </c>
      <c r="G169" t="s">
        <v>269</v>
      </c>
      <c r="H169" s="277"/>
      <c r="I169" s="266"/>
      <c r="J169" s="295">
        <f t="shared" ref="J169:J174" si="75">ROUND( J140, $H96)</f>
        <v>0.50700000000000001</v>
      </c>
      <c r="K169" s="295">
        <f t="shared" ref="K169:AO169" si="76">ROUND( K140, $H96)</f>
        <v>0.50700000000000001</v>
      </c>
      <c r="L169" s="295">
        <f t="shared" si="76"/>
        <v>0.58199999999999996</v>
      </c>
      <c r="M169" s="295">
        <f t="shared" si="76"/>
        <v>0.58199999999999996</v>
      </c>
      <c r="N169" s="295">
        <f t="shared" si="76"/>
        <v>0.58199999999999996</v>
      </c>
      <c r="O169" s="295">
        <f t="shared" si="76"/>
        <v>0.58199999999999996</v>
      </c>
      <c r="P169" s="295">
        <f t="shared" si="76"/>
        <v>0.58199999999999996</v>
      </c>
      <c r="Q169" s="295">
        <f t="shared" si="76"/>
        <v>0.58199999999999996</v>
      </c>
      <c r="R169" s="295">
        <f t="shared" si="76"/>
        <v>0.40699999999999997</v>
      </c>
      <c r="S169" s="295">
        <f t="shared" si="76"/>
        <v>0.40699999999999997</v>
      </c>
      <c r="T169" s="295">
        <f t="shared" si="76"/>
        <v>0.40699999999999997</v>
      </c>
      <c r="U169" s="295">
        <f t="shared" si="76"/>
        <v>0.40699999999999997</v>
      </c>
      <c r="V169" s="295">
        <f t="shared" si="76"/>
        <v>0.40699999999999997</v>
      </c>
      <c r="W169" s="295">
        <f t="shared" si="76"/>
        <v>0.3</v>
      </c>
      <c r="X169" s="295">
        <f t="shared" si="76"/>
        <v>0.3</v>
      </c>
      <c r="Y169" s="295">
        <f t="shared" si="76"/>
        <v>0.3</v>
      </c>
      <c r="Z169" s="295">
        <f t="shared" si="76"/>
        <v>0.3</v>
      </c>
      <c r="AA169" s="295">
        <f t="shared" si="76"/>
        <v>0.3</v>
      </c>
      <c r="AB169" s="295">
        <f t="shared" si="76"/>
        <v>0.217</v>
      </c>
      <c r="AC169" s="295">
        <f t="shared" si="76"/>
        <v>0.217</v>
      </c>
      <c r="AD169" s="295">
        <f t="shared" si="76"/>
        <v>0.217</v>
      </c>
      <c r="AE169" s="295">
        <f t="shared" si="76"/>
        <v>0.217</v>
      </c>
      <c r="AF169" s="295">
        <f t="shared" si="76"/>
        <v>0.217</v>
      </c>
      <c r="AG169" s="295">
        <f t="shared" si="76"/>
        <v>1.046</v>
      </c>
      <c r="AH169" s="295">
        <f t="shared" si="76"/>
        <v>-0.94599999999999995</v>
      </c>
      <c r="AI169" s="295">
        <f t="shared" si="76"/>
        <v>-0.79100000000000004</v>
      </c>
      <c r="AJ169" s="295">
        <f t="shared" si="76"/>
        <v>-0.94599999999999995</v>
      </c>
      <c r="AK169" s="292">
        <f t="shared" si="76"/>
        <v>0</v>
      </c>
      <c r="AL169" s="295">
        <f t="shared" si="76"/>
        <v>-0.79100000000000004</v>
      </c>
      <c r="AM169" s="292">
        <f t="shared" si="76"/>
        <v>0</v>
      </c>
      <c r="AN169" s="295">
        <f t="shared" si="76"/>
        <v>-0.38700000000000001</v>
      </c>
      <c r="AO169" s="292">
        <f t="shared" si="76"/>
        <v>0</v>
      </c>
      <c r="AP169" s="266"/>
      <c r="AQ169" s="266"/>
    </row>
    <row r="170" spans="2:43" x14ac:dyDescent="0.25">
      <c r="C170" s="100"/>
      <c r="F170" t="s">
        <v>158</v>
      </c>
      <c r="G170" t="s">
        <v>269</v>
      </c>
      <c r="H170" s="277"/>
      <c r="I170" s="266"/>
      <c r="J170" s="295">
        <f t="shared" si="75"/>
        <v>0.01</v>
      </c>
      <c r="K170" s="295">
        <f t="shared" ref="K170:AO170" si="77">ROUND( K141, $H97)</f>
        <v>0.01</v>
      </c>
      <c r="L170" s="295">
        <f t="shared" si="77"/>
        <v>1.2E-2</v>
      </c>
      <c r="M170" s="295">
        <f t="shared" si="77"/>
        <v>1.2E-2</v>
      </c>
      <c r="N170" s="295">
        <f t="shared" si="77"/>
        <v>1.2E-2</v>
      </c>
      <c r="O170" s="295">
        <f t="shared" si="77"/>
        <v>1.2E-2</v>
      </c>
      <c r="P170" s="295">
        <f t="shared" si="77"/>
        <v>1.2E-2</v>
      </c>
      <c r="Q170" s="295">
        <f t="shared" si="77"/>
        <v>1.2E-2</v>
      </c>
      <c r="R170" s="295">
        <f t="shared" si="77"/>
        <v>8.0000000000000002E-3</v>
      </c>
      <c r="S170" s="295">
        <f t="shared" si="77"/>
        <v>8.0000000000000002E-3</v>
      </c>
      <c r="T170" s="295">
        <f t="shared" si="77"/>
        <v>8.0000000000000002E-3</v>
      </c>
      <c r="U170" s="295">
        <f t="shared" si="77"/>
        <v>8.0000000000000002E-3</v>
      </c>
      <c r="V170" s="295">
        <f t="shared" si="77"/>
        <v>8.0000000000000002E-3</v>
      </c>
      <c r="W170" s="295">
        <f t="shared" si="77"/>
        <v>7.0000000000000001E-3</v>
      </c>
      <c r="X170" s="295">
        <f t="shared" si="77"/>
        <v>7.0000000000000001E-3</v>
      </c>
      <c r="Y170" s="295">
        <f t="shared" si="77"/>
        <v>7.0000000000000001E-3</v>
      </c>
      <c r="Z170" s="295">
        <f t="shared" si="77"/>
        <v>7.0000000000000001E-3</v>
      </c>
      <c r="AA170" s="295">
        <f t="shared" si="77"/>
        <v>7.0000000000000001E-3</v>
      </c>
      <c r="AB170" s="295">
        <f t="shared" si="77"/>
        <v>5.0000000000000001E-3</v>
      </c>
      <c r="AC170" s="295">
        <f t="shared" si="77"/>
        <v>5.0000000000000001E-3</v>
      </c>
      <c r="AD170" s="295">
        <f t="shared" si="77"/>
        <v>5.0000000000000001E-3</v>
      </c>
      <c r="AE170" s="295">
        <f t="shared" si="77"/>
        <v>5.0000000000000001E-3</v>
      </c>
      <c r="AF170" s="295">
        <f t="shared" si="77"/>
        <v>5.0000000000000001E-3</v>
      </c>
      <c r="AG170" s="295">
        <f t="shared" si="77"/>
        <v>0.58799999999999997</v>
      </c>
      <c r="AH170" s="295">
        <f t="shared" si="77"/>
        <v>-1.9E-2</v>
      </c>
      <c r="AI170" s="295">
        <f t="shared" si="77"/>
        <v>-1.6E-2</v>
      </c>
      <c r="AJ170" s="295">
        <f t="shared" si="77"/>
        <v>-1.9E-2</v>
      </c>
      <c r="AK170" s="292">
        <f t="shared" si="77"/>
        <v>0</v>
      </c>
      <c r="AL170" s="295">
        <f t="shared" si="77"/>
        <v>-1.6E-2</v>
      </c>
      <c r="AM170" s="292">
        <f t="shared" si="77"/>
        <v>0</v>
      </c>
      <c r="AN170" s="295">
        <f t="shared" si="77"/>
        <v>-8.0000000000000002E-3</v>
      </c>
      <c r="AO170" s="292">
        <f t="shared" si="77"/>
        <v>0</v>
      </c>
      <c r="AP170" s="266"/>
      <c r="AQ170" s="266"/>
    </row>
    <row r="171" spans="2:43" x14ac:dyDescent="0.25">
      <c r="C171" s="100"/>
      <c r="F171" t="s">
        <v>159</v>
      </c>
      <c r="G171" t="s">
        <v>270</v>
      </c>
      <c r="H171" s="63"/>
      <c r="J171" s="164">
        <f t="shared" si="75"/>
        <v>5.94</v>
      </c>
      <c r="K171" s="164">
        <f t="shared" ref="K171:AO171" si="78">ROUND( K142, $H98)</f>
        <v>0</v>
      </c>
      <c r="L171" s="164">
        <f t="shared" si="78"/>
        <v>3.36</v>
      </c>
      <c r="M171" s="164">
        <f t="shared" si="78"/>
        <v>7.36</v>
      </c>
      <c r="N171" s="164">
        <f t="shared" si="78"/>
        <v>11.92</v>
      </c>
      <c r="O171" s="164">
        <f t="shared" si="78"/>
        <v>21.89</v>
      </c>
      <c r="P171" s="164">
        <f t="shared" si="78"/>
        <v>57.57</v>
      </c>
      <c r="Q171" s="164">
        <f t="shared" si="78"/>
        <v>0</v>
      </c>
      <c r="R171" s="164">
        <f t="shared" si="78"/>
        <v>11.15</v>
      </c>
      <c r="S171" s="164">
        <f t="shared" si="78"/>
        <v>117.27</v>
      </c>
      <c r="T171" s="164">
        <f t="shared" si="78"/>
        <v>194.06</v>
      </c>
      <c r="U171" s="164">
        <f t="shared" si="78"/>
        <v>323.98</v>
      </c>
      <c r="V171" s="164">
        <f t="shared" si="78"/>
        <v>672.23</v>
      </c>
      <c r="W171" s="164">
        <f t="shared" si="78"/>
        <v>6.59</v>
      </c>
      <c r="X171" s="164">
        <f t="shared" si="78"/>
        <v>183.89</v>
      </c>
      <c r="Y171" s="164">
        <f t="shared" si="78"/>
        <v>312.18</v>
      </c>
      <c r="Z171" s="164">
        <f t="shared" si="78"/>
        <v>529.24</v>
      </c>
      <c r="AA171" s="164">
        <f t="shared" si="78"/>
        <v>1111.07</v>
      </c>
      <c r="AB171" s="164">
        <f t="shared" si="78"/>
        <v>114.05</v>
      </c>
      <c r="AC171" s="164">
        <f t="shared" si="78"/>
        <v>1136.99</v>
      </c>
      <c r="AD171" s="164">
        <f t="shared" si="78"/>
        <v>3357.26</v>
      </c>
      <c r="AE171" s="164">
        <f t="shared" si="78"/>
        <v>6438.27</v>
      </c>
      <c r="AF171" s="164">
        <f t="shared" si="78"/>
        <v>17128.810000000001</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160</v>
      </c>
      <c r="G172" t="s">
        <v>271</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2.04</v>
      </c>
      <c r="S172" s="164">
        <f t="shared" si="79"/>
        <v>2.04</v>
      </c>
      <c r="T172" s="164">
        <f t="shared" si="79"/>
        <v>2.04</v>
      </c>
      <c r="U172" s="164">
        <f t="shared" si="79"/>
        <v>2.04</v>
      </c>
      <c r="V172" s="164">
        <f t="shared" si="79"/>
        <v>2.04</v>
      </c>
      <c r="W172" s="164">
        <f t="shared" si="79"/>
        <v>4.8099999999999996</v>
      </c>
      <c r="X172" s="164">
        <f t="shared" si="79"/>
        <v>4.8099999999999996</v>
      </c>
      <c r="Y172" s="164">
        <f t="shared" si="79"/>
        <v>4.8099999999999996</v>
      </c>
      <c r="Z172" s="164">
        <f t="shared" si="79"/>
        <v>4.8099999999999996</v>
      </c>
      <c r="AA172" s="164">
        <f t="shared" si="79"/>
        <v>4.8099999999999996</v>
      </c>
      <c r="AB172" s="164">
        <f t="shared" si="79"/>
        <v>6.58</v>
      </c>
      <c r="AC172" s="164">
        <f t="shared" si="79"/>
        <v>6.58</v>
      </c>
      <c r="AD172" s="164">
        <f t="shared" si="79"/>
        <v>6.58</v>
      </c>
      <c r="AE172" s="164">
        <f t="shared" si="79"/>
        <v>6.58</v>
      </c>
      <c r="AF172" s="164">
        <f t="shared" si="79"/>
        <v>6.58</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161</v>
      </c>
      <c r="G173" t="s">
        <v>271</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2.04</v>
      </c>
      <c r="S173" s="164">
        <f t="shared" si="80"/>
        <v>2.04</v>
      </c>
      <c r="T173" s="164">
        <f t="shared" si="80"/>
        <v>2.04</v>
      </c>
      <c r="U173" s="164">
        <f t="shared" si="80"/>
        <v>2.04</v>
      </c>
      <c r="V173" s="164">
        <f t="shared" si="80"/>
        <v>2.04</v>
      </c>
      <c r="W173" s="164">
        <f t="shared" si="80"/>
        <v>4.8099999999999996</v>
      </c>
      <c r="X173" s="164">
        <f t="shared" si="80"/>
        <v>4.8099999999999996</v>
      </c>
      <c r="Y173" s="164">
        <f t="shared" si="80"/>
        <v>4.8099999999999996</v>
      </c>
      <c r="Z173" s="164">
        <f t="shared" si="80"/>
        <v>4.8099999999999996</v>
      </c>
      <c r="AA173" s="164">
        <f t="shared" si="80"/>
        <v>4.8099999999999996</v>
      </c>
      <c r="AB173" s="164">
        <f t="shared" si="80"/>
        <v>6.58</v>
      </c>
      <c r="AC173" s="164">
        <f t="shared" si="80"/>
        <v>6.58</v>
      </c>
      <c r="AD173" s="164">
        <f t="shared" si="80"/>
        <v>6.58</v>
      </c>
      <c r="AE173" s="164">
        <f t="shared" si="80"/>
        <v>6.58</v>
      </c>
      <c r="AF173" s="164">
        <f t="shared" si="80"/>
        <v>6.58</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162</v>
      </c>
      <c r="G174" s="91" t="s">
        <v>272</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8.7999999999999995E-2</v>
      </c>
      <c r="S174" s="283">
        <f t="shared" si="81"/>
        <v>8.7999999999999995E-2</v>
      </c>
      <c r="T174" s="283">
        <f t="shared" si="81"/>
        <v>8.7999999999999995E-2</v>
      </c>
      <c r="U174" s="283">
        <f t="shared" si="81"/>
        <v>8.7999999999999995E-2</v>
      </c>
      <c r="V174" s="283">
        <f t="shared" si="81"/>
        <v>8.7999999999999995E-2</v>
      </c>
      <c r="W174" s="283">
        <f t="shared" si="81"/>
        <v>7.9000000000000001E-2</v>
      </c>
      <c r="X174" s="283">
        <f t="shared" si="81"/>
        <v>7.9000000000000001E-2</v>
      </c>
      <c r="Y174" s="283">
        <f t="shared" si="81"/>
        <v>7.9000000000000001E-2</v>
      </c>
      <c r="Z174" s="283">
        <f t="shared" si="81"/>
        <v>7.9000000000000001E-2</v>
      </c>
      <c r="AA174" s="283">
        <f t="shared" si="81"/>
        <v>7.9000000000000001E-2</v>
      </c>
      <c r="AB174" s="283">
        <f t="shared" si="81"/>
        <v>6.2E-2</v>
      </c>
      <c r="AC174" s="283">
        <f t="shared" si="81"/>
        <v>6.2E-2</v>
      </c>
      <c r="AD174" s="283">
        <f t="shared" si="81"/>
        <v>6.2E-2</v>
      </c>
      <c r="AE174" s="283">
        <f t="shared" si="81"/>
        <v>6.2E-2</v>
      </c>
      <c r="AF174" s="283">
        <f t="shared" si="81"/>
        <v>6.2E-2</v>
      </c>
      <c r="AG174" s="283">
        <f t="shared" si="81"/>
        <v>0</v>
      </c>
      <c r="AH174" s="283">
        <f t="shared" si="81"/>
        <v>0</v>
      </c>
      <c r="AI174" s="283">
        <f t="shared" si="81"/>
        <v>0</v>
      </c>
      <c r="AJ174" s="283">
        <f t="shared" si="81"/>
        <v>0.19800000000000001</v>
      </c>
      <c r="AK174" s="274">
        <f t="shared" si="81"/>
        <v>0</v>
      </c>
      <c r="AL174" s="283">
        <f t="shared" si="81"/>
        <v>0.16300000000000001</v>
      </c>
      <c r="AM174" s="274">
        <f t="shared" si="81"/>
        <v>0</v>
      </c>
      <c r="AN174" s="283">
        <f t="shared" si="81"/>
        <v>0.14699999999999999</v>
      </c>
      <c r="AO174" s="274">
        <f t="shared" si="81"/>
        <v>0</v>
      </c>
      <c r="AP174" s="266"/>
      <c r="AQ174" s="266"/>
    </row>
    <row r="175" spans="2:43" x14ac:dyDescent="0.25">
      <c r="C175" s="100"/>
    </row>
    <row r="176" spans="2:43" x14ac:dyDescent="0.25">
      <c r="B176" s="70" t="s">
        <v>231</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232</v>
      </c>
      <c r="G178" s="6" t="s">
        <v>55</v>
      </c>
      <c r="H178" s="108">
        <f t="array" ref="H178">SUM(IF(ISERROR(H20:AO174), 1))</f>
        <v>0</v>
      </c>
    </row>
    <row r="180" spans="2:43" x14ac:dyDescent="0.25">
      <c r="B180" s="70" t="s">
        <v>106</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755</v>
      </c>
    </row>
    <row r="10" spans="1:43" x14ac:dyDescent="0.25">
      <c r="C10" s="89"/>
    </row>
    <row r="11" spans="1:43" x14ac:dyDescent="0.25">
      <c r="B11" s="70" t="s">
        <v>756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996</v>
      </c>
      <c r="G15" s="351" t="s">
        <v>149</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930</v>
      </c>
      <c r="G17" s="351" t="s">
        <v>149</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245</v>
      </c>
      <c r="I19" t="s">
        <v>154</v>
      </c>
      <c r="AQ19" t="s">
        <v>246</v>
      </c>
    </row>
    <row r="20" spans="3:43" x14ac:dyDescent="0.25">
      <c r="E20" s="60"/>
      <c r="F20" s="71" t="s">
        <v>1025</v>
      </c>
    </row>
    <row r="21" spans="3:43" x14ac:dyDescent="0.25">
      <c r="E21" s="60"/>
      <c r="F21" s="71" t="s">
        <v>1021</v>
      </c>
    </row>
    <row r="22" spans="3:43" x14ac:dyDescent="0.25">
      <c r="F22" s="111" t="s">
        <v>247</v>
      </c>
      <c r="G22" s="111" t="s">
        <v>207</v>
      </c>
      <c r="H22" s="8">
        <v>0</v>
      </c>
      <c r="I22" s="90"/>
      <c r="J22" s="258">
        <f>INDEX('Volume adjustments'!$J$527:$Y$567,J$17 + 1 + $H22*$H$28, J$15)</f>
        <v>703559.81712934223</v>
      </c>
      <c r="K22" s="258">
        <f>INDEX('Volume adjustments'!$J$527:$Y$567,K$17 + 1 + $H22*$H$28, K$15)</f>
        <v>583.49065558298639</v>
      </c>
      <c r="L22" s="258">
        <f>INDEX('Volume adjustments'!$J$527:$Y$567,L$17 + 1 + $H22*$H$28, L$15)</f>
        <v>17.287783850161901</v>
      </c>
      <c r="M22" s="258">
        <f>INDEX('Volume adjustments'!$J$527:$Y$567,M$17 + 1 + $H22*$H$28, M$15)</f>
        <v>16503.980903325719</v>
      </c>
      <c r="N22" s="258">
        <f>INDEX('Volume adjustments'!$J$527:$Y$567,N$17 + 1 + $H22*$H$28, N$15)</f>
        <v>29101.976524345333</v>
      </c>
      <c r="O22" s="258">
        <f>INDEX('Volume adjustments'!$J$527:$Y$567,O$17 + 1 + $H22*$H$28, O$15)</f>
        <v>35680.021373431162</v>
      </c>
      <c r="P22" s="258">
        <f>INDEX('Volume adjustments'!$J$527:$Y$567,P$17 + 1 + $H22*$H$28, P$15)</f>
        <v>108952.04705330744</v>
      </c>
      <c r="Q22" s="258">
        <f>INDEX('Volume adjustments'!$J$527:$Y$567,Q$17 + 1 + $H22*$H$28, Q$15)</f>
        <v>483.15300000000002</v>
      </c>
      <c r="R22" s="258">
        <f>INDEX('Volume adjustments'!$J$527:$Y$567,R$17 + 1 + $H22*$H$28, R$15)</f>
        <v>11.680688004034213</v>
      </c>
      <c r="S22" s="258">
        <f>INDEX('Volume adjustments'!$J$527:$Y$567,S$17 + 1 + $H22*$H$28, S$15)</f>
        <v>47456.547464738745</v>
      </c>
      <c r="T22" s="258">
        <f>INDEX('Volume adjustments'!$J$527:$Y$567,T$17 + 1 + $H22*$H$28, T$15)</f>
        <v>70214.940997212165</v>
      </c>
      <c r="U22" s="258">
        <f>INDEX('Volume adjustments'!$J$527:$Y$567,U$17 + 1 + $H22*$H$28, U$15)</f>
        <v>37760.726754192518</v>
      </c>
      <c r="V22" s="258">
        <f>INDEX('Volume adjustments'!$J$527:$Y$567,V$17 + 1 + $H22*$H$28, V$15)</f>
        <v>90467.623231445323</v>
      </c>
      <c r="W22" s="258">
        <f>INDEX('Volume adjustments'!$J$527:$Y$567,W$17 + 1 + $H22*$H$28, W$15)</f>
        <v>0.14310184384727981</v>
      </c>
      <c r="X22" s="258">
        <f>INDEX('Volume adjustments'!$J$527:$Y$567,X$17 + 1 + $H22*$H$28, X$15)</f>
        <v>122.4524465326782</v>
      </c>
      <c r="Y22" s="258">
        <f>INDEX('Volume adjustments'!$J$527:$Y$567,Y$17 + 1 + $H22*$H$28, Y$15)</f>
        <v>640.93328333587624</v>
      </c>
      <c r="Z22" s="258">
        <f>INDEX('Volume adjustments'!$J$527:$Y$567,Z$17 + 1 + $H22*$H$28, Z$15)</f>
        <v>1971.4644145437487</v>
      </c>
      <c r="AA22" s="258">
        <f>INDEX('Volume adjustments'!$J$527:$Y$567,AA$17 + 1 + $H22*$H$28, AA$15)</f>
        <v>21789.431072527386</v>
      </c>
      <c r="AB22" s="258">
        <f>INDEX('Volume adjustments'!$J$527:$Y$567,AB$17 + 1 + $H22*$H$28, AB$15)</f>
        <v>501.18634038179846</v>
      </c>
      <c r="AC22" s="258">
        <f>INDEX('Volume adjustments'!$J$527:$Y$567,AC$17 + 1 + $H22*$H$28, AC$15)</f>
        <v>16413.604750339815</v>
      </c>
      <c r="AD22" s="258">
        <f>INDEX('Volume adjustments'!$J$527:$Y$567,AD$17 + 1 + $H22*$H$28, AD$15)</f>
        <v>62616.787705325325</v>
      </c>
      <c r="AE22" s="258">
        <f>INDEX('Volume adjustments'!$J$527:$Y$567,AE$17 + 1 + $H22*$H$28, AE$15)</f>
        <v>55347.504030953489</v>
      </c>
      <c r="AF22" s="258">
        <f>INDEX('Volume adjustments'!$J$527:$Y$567,AF$17 + 1 + $H22*$H$28, AF$15)</f>
        <v>165384.58107252733</v>
      </c>
      <c r="AG22" s="258">
        <f>INDEX('Volume adjustments'!$J$527:$Y$567,AG$17 + 1 + $H22*$H$28, AG$15)</f>
        <v>10411.538342882297</v>
      </c>
      <c r="AH22" s="258">
        <f>INDEX('Volume adjustments'!$J$527:$Y$567,AH$17 + 1 + $H22*$H$28, AH$15)</f>
        <v>8914.4630574141829</v>
      </c>
      <c r="AI22" s="258">
        <f>INDEX('Volume adjustments'!$J$527:$Y$567,AI$17 + 1 + $H22*$H$28, AI$15)</f>
        <v>52.1242510546167</v>
      </c>
      <c r="AJ22" s="258">
        <f>INDEX('Volume adjustments'!$J$527:$Y$567,AJ$17 + 1 + $H22*$H$28, AJ$15)</f>
        <v>5844.5299999999988</v>
      </c>
      <c r="AK22" s="258">
        <f>INDEX('Volume adjustments'!$J$527:$Y$567,AK$17 + 1 + $H22*$H$28, AK$15)</f>
        <v>0</v>
      </c>
      <c r="AL22" s="258">
        <f>INDEX('Volume adjustments'!$J$527:$Y$567,AL$17 + 1 + $H22*$H$28, AL$15)</f>
        <v>64.59099999999998</v>
      </c>
      <c r="AM22" s="258">
        <f>INDEX('Volume adjustments'!$J$527:$Y$567,AM$17 + 1 + $H22*$H$28, AM$15)</f>
        <v>0</v>
      </c>
      <c r="AN22" s="258">
        <f>INDEX('Volume adjustments'!$J$527:$Y$567,AN$17 + 1 + $H22*$H$28, AN$15)</f>
        <v>115415.10300000002</v>
      </c>
      <c r="AO22" s="258">
        <f>INDEX('Volume adjustments'!$J$527:$Y$567,AO$17 + 1 + $H22*$H$28, AO$15)</f>
        <v>0</v>
      </c>
    </row>
    <row r="23" spans="3:43" x14ac:dyDescent="0.25">
      <c r="E23" s="89"/>
      <c r="F23" s="113" t="s">
        <v>248</v>
      </c>
      <c r="G23" s="113" t="s">
        <v>207</v>
      </c>
      <c r="H23" s="7">
        <v>1</v>
      </c>
      <c r="J23" s="315">
        <f>INDEX('Volume adjustments'!$J$527:$Y$567,J$17 + 1 + $H23*$H$28, J$15)</f>
        <v>2447600.8517030654</v>
      </c>
      <c r="K23" s="315">
        <f>INDEX('Volume adjustments'!$J$527:$Y$567,K$17 + 1 + $H23*$H$28, K$15)</f>
        <v>16234.514009424238</v>
      </c>
      <c r="L23" s="315">
        <f>INDEX('Volume adjustments'!$J$527:$Y$567,L$17 + 1 + $H23*$H$28, L$15)</f>
        <v>89.69185070579644</v>
      </c>
      <c r="M23" s="315">
        <f>INDEX('Volume adjustments'!$J$527:$Y$567,M$17 + 1 + $H23*$H$28, M$15)</f>
        <v>85625.352796075284</v>
      </c>
      <c r="N23" s="315">
        <f>INDEX('Volume adjustments'!$J$527:$Y$567,N$17 + 1 + $H23*$H$28, N$15)</f>
        <v>150985.81497134635</v>
      </c>
      <c r="O23" s="315">
        <f>INDEX('Volume adjustments'!$J$527:$Y$567,O$17 + 1 + $H23*$H$28, O$15)</f>
        <v>185113.78774413836</v>
      </c>
      <c r="P23" s="315">
        <f>INDEX('Volume adjustments'!$J$527:$Y$567,P$17 + 1 + $H23*$H$28, P$15)</f>
        <v>565261.04346825485</v>
      </c>
      <c r="Q23" s="315">
        <f>INDEX('Volume adjustments'!$J$527:$Y$567,Q$17 + 1 + $H23*$H$28, Q$15)</f>
        <v>7645.8209999999999</v>
      </c>
      <c r="R23" s="315">
        <f>INDEX('Volume adjustments'!$J$527:$Y$567,R$17 + 1 + $H23*$H$28, R$15)</f>
        <v>47.630057456640778</v>
      </c>
      <c r="S23" s="315">
        <f>INDEX('Volume adjustments'!$J$527:$Y$567,S$17 + 1 + $H23*$H$28, S$15)</f>
        <v>227086.37220120273</v>
      </c>
      <c r="T23" s="315">
        <f>INDEX('Volume adjustments'!$J$527:$Y$567,T$17 + 1 + $H23*$H$28, T$15)</f>
        <v>326249.73300726258</v>
      </c>
      <c r="U23" s="315">
        <f>INDEX('Volume adjustments'!$J$527:$Y$567,U$17 + 1 + $H23*$H$28, U$15)</f>
        <v>183346.91599941591</v>
      </c>
      <c r="V23" s="315">
        <f>INDEX('Volume adjustments'!$J$527:$Y$567,V$17 + 1 + $H23*$H$28, V$15)</f>
        <v>447579.0337871146</v>
      </c>
      <c r="W23" s="315">
        <f>INDEX('Volume adjustments'!$J$527:$Y$567,W$17 + 1 + $H23*$H$28, W$15)</f>
        <v>0.55054459369022912</v>
      </c>
      <c r="X23" s="315">
        <f>INDEX('Volume adjustments'!$J$527:$Y$567,X$17 + 1 + $H23*$H$28, X$15)</f>
        <v>570.50233209290229</v>
      </c>
      <c r="Y23" s="315">
        <f>INDEX('Volume adjustments'!$J$527:$Y$567,Y$17 + 1 + $H23*$H$28, Y$15)</f>
        <v>2730.7150973827993</v>
      </c>
      <c r="Z23" s="315">
        <f>INDEX('Volume adjustments'!$J$527:$Y$567,Z$17 + 1 + $H23*$H$28, Z$15)</f>
        <v>9124.5452309914381</v>
      </c>
      <c r="AA23" s="315">
        <f>INDEX('Volume adjustments'!$J$527:$Y$567,AA$17 + 1 + $H23*$H$28, AA$15)</f>
        <v>102267.59954124269</v>
      </c>
      <c r="AB23" s="315">
        <f>INDEX('Volume adjustments'!$J$527:$Y$567,AB$17 + 1 + $H23*$H$28, AB$15)</f>
        <v>2309.276574110876</v>
      </c>
      <c r="AC23" s="315">
        <f>INDEX('Volume adjustments'!$J$527:$Y$567,AC$17 + 1 + $H23*$H$28, AC$15)</f>
        <v>78891.638738172347</v>
      </c>
      <c r="AD23" s="315">
        <f>INDEX('Volume adjustments'!$J$527:$Y$567,AD$17 + 1 + $H23*$H$28, AD$15)</f>
        <v>299340.71587722353</v>
      </c>
      <c r="AE23" s="315">
        <f>INDEX('Volume adjustments'!$J$527:$Y$567,AE$17 + 1 + $H23*$H$28, AE$15)</f>
        <v>258476.65741877313</v>
      </c>
      <c r="AF23" s="315">
        <f>INDEX('Volume adjustments'!$J$527:$Y$567,AF$17 + 1 + $H23*$H$28, AF$15)</f>
        <v>763065.83040227892</v>
      </c>
      <c r="AG23" s="315">
        <f>INDEX('Volume adjustments'!$J$527:$Y$567,AG$17 + 1 + $H23*$H$28, AG$15)</f>
        <v>60982.689512370809</v>
      </c>
      <c r="AH23" s="315">
        <f>INDEX('Volume adjustments'!$J$527:$Y$567,AH$17 + 1 + $H23*$H$28, AH$15)</f>
        <v>49280.917648912247</v>
      </c>
      <c r="AI23" s="315">
        <f>INDEX('Volume adjustments'!$J$527:$Y$567,AI$17 + 1 + $H23*$H$28, AI$15)</f>
        <v>227.37680998266927</v>
      </c>
      <c r="AJ23" s="315">
        <f>INDEX('Volume adjustments'!$J$527:$Y$567,AJ$17 + 1 + $H23*$H$28, AJ$15)</f>
        <v>27694.188000000006</v>
      </c>
      <c r="AK23" s="315">
        <f>INDEX('Volume adjustments'!$J$527:$Y$567,AK$17 + 1 + $H23*$H$28, AK$15)</f>
        <v>0</v>
      </c>
      <c r="AL23" s="315">
        <f>INDEX('Volume adjustments'!$J$527:$Y$567,AL$17 + 1 + $H23*$H$28, AL$15)</f>
        <v>326.78199999999998</v>
      </c>
      <c r="AM23" s="315">
        <f>INDEX('Volume adjustments'!$J$527:$Y$567,AM$17 + 1 + $H23*$H$28, AM$15)</f>
        <v>0</v>
      </c>
      <c r="AN23" s="315">
        <f>INDEX('Volume adjustments'!$J$527:$Y$567,AN$17 + 1 + $H23*$H$28, AN$15)</f>
        <v>421753.54499999998</v>
      </c>
      <c r="AO23" s="315">
        <f>INDEX('Volume adjustments'!$J$527:$Y$567,AO$17 + 1 + $H23*$H$28, AO$15)</f>
        <v>0</v>
      </c>
    </row>
    <row r="24" spans="3:43" x14ac:dyDescent="0.25">
      <c r="E24" s="89"/>
      <c r="F24" s="113" t="s">
        <v>249</v>
      </c>
      <c r="G24" s="113" t="s">
        <v>207</v>
      </c>
      <c r="H24" s="7">
        <v>2</v>
      </c>
      <c r="J24" s="315">
        <f>INDEX('Volume adjustments'!$J$527:$Y$567,J$17 + 1 + $H24*$H$28, J$15)</f>
        <v>2346502.0044514849</v>
      </c>
      <c r="K24" s="315">
        <f>INDEX('Volume adjustments'!$J$527:$Y$567,K$17 + 1 + $H24*$H$28, K$15)</f>
        <v>163317.30533499279</v>
      </c>
      <c r="L24" s="315">
        <f>INDEX('Volume adjustments'!$J$527:$Y$567,L$17 + 1 + $H24*$H$28, L$15)</f>
        <v>74.176229689763986</v>
      </c>
      <c r="M24" s="315">
        <f>INDEX('Volume adjustments'!$J$527:$Y$567,M$17 + 1 + $H24*$H$28, M$15)</f>
        <v>70813.187444445182</v>
      </c>
      <c r="N24" s="315">
        <f>INDEX('Volume adjustments'!$J$527:$Y$567,N$17 + 1 + $H24*$H$28, N$15)</f>
        <v>124867.0687813894</v>
      </c>
      <c r="O24" s="315">
        <f>INDEX('Volume adjustments'!$J$527:$Y$567,O$17 + 1 + $H24*$H$28, O$15)</f>
        <v>153091.30908103829</v>
      </c>
      <c r="P24" s="315">
        <f>INDEX('Volume adjustments'!$J$527:$Y$567,P$17 + 1 + $H24*$H$28, P$15)</f>
        <v>467477.62104397325</v>
      </c>
      <c r="Q24" s="315">
        <f>INDEX('Volume adjustments'!$J$527:$Y$567,Q$17 + 1 + $H24*$H$28, Q$15)</f>
        <v>33432.284</v>
      </c>
      <c r="R24" s="315">
        <f>INDEX('Volume adjustments'!$J$527:$Y$567,R$17 + 1 + $H24*$H$28, R$15)</f>
        <v>60.893809608235522</v>
      </c>
      <c r="S24" s="315">
        <f>INDEX('Volume adjustments'!$J$527:$Y$567,S$17 + 1 + $H24*$H$28, S$15)</f>
        <v>199145.42614226352</v>
      </c>
      <c r="T24" s="315">
        <f>INDEX('Volume adjustments'!$J$527:$Y$567,T$17 + 1 + $H24*$H$28, T$15)</f>
        <v>286556.28865027358</v>
      </c>
      <c r="U24" s="315">
        <f>INDEX('Volume adjustments'!$J$527:$Y$567,U$17 + 1 + $H24*$H$28, U$15)</f>
        <v>166169.22705479202</v>
      </c>
      <c r="V24" s="315">
        <f>INDEX('Volume adjustments'!$J$527:$Y$567,V$17 + 1 + $H24*$H$28, V$15)</f>
        <v>401012.17632340727</v>
      </c>
      <c r="W24" s="315">
        <f>INDEX('Volume adjustments'!$J$527:$Y$567,W$17 + 1 + $H24*$H$28, W$15)</f>
        <v>0.77911003872407869</v>
      </c>
      <c r="X24" s="315">
        <f>INDEX('Volume adjustments'!$J$527:$Y$567,X$17 + 1 + $H24*$H$28, X$15)</f>
        <v>603.57575198930022</v>
      </c>
      <c r="Y24" s="315">
        <f>INDEX('Volume adjustments'!$J$527:$Y$567,Y$17 + 1 + $H24*$H$28, Y$15)</f>
        <v>2796.0232013686013</v>
      </c>
      <c r="Z24" s="315">
        <f>INDEX('Volume adjustments'!$J$527:$Y$567,Z$17 + 1 + $H24*$H$28, Z$15)</f>
        <v>10085.728515703873</v>
      </c>
      <c r="AA24" s="315">
        <f>INDEX('Volume adjustments'!$J$527:$Y$567,AA$17 + 1 + $H24*$H$28, AA$15)</f>
        <v>103599.48218986468</v>
      </c>
      <c r="AB24" s="315">
        <f>INDEX('Volume adjustments'!$J$527:$Y$567,AB$17 + 1 + $H24*$H$28, AB$15)</f>
        <v>2960.6388173812438</v>
      </c>
      <c r="AC24" s="315">
        <f>INDEX('Volume adjustments'!$J$527:$Y$567,AC$17 + 1 + $H24*$H$28, AC$15)</f>
        <v>82180.443622255261</v>
      </c>
      <c r="AD24" s="315">
        <f>INDEX('Volume adjustments'!$J$527:$Y$567,AD$17 + 1 + $H24*$H$28, AD$15)</f>
        <v>299261.62772174185</v>
      </c>
      <c r="AE24" s="315">
        <f>INDEX('Volume adjustments'!$J$527:$Y$567,AE$17 + 1 + $H24*$H$28, AE$15)</f>
        <v>270569.8327389044</v>
      </c>
      <c r="AF24" s="315">
        <f>INDEX('Volume adjustments'!$J$527:$Y$567,AF$17 + 1 + $H24*$H$28, AF$15)</f>
        <v>886837.84395632148</v>
      </c>
      <c r="AG24" s="315">
        <f>INDEX('Volume adjustments'!$J$527:$Y$567,AG$17 + 1 + $H24*$H$28, AG$15)</f>
        <v>138883.6383279369</v>
      </c>
      <c r="AH24" s="315">
        <f>INDEX('Volume adjustments'!$J$527:$Y$567,AH$17 + 1 + $H24*$H$28, AH$15)</f>
        <v>22702.507450935238</v>
      </c>
      <c r="AI24" s="315">
        <f>INDEX('Volume adjustments'!$J$527:$Y$567,AI$17 + 1 + $H24*$H$28, AI$15)</f>
        <v>201.46913946310823</v>
      </c>
      <c r="AJ24" s="315">
        <f>INDEX('Volume adjustments'!$J$527:$Y$567,AJ$17 + 1 + $H24*$H$28, AJ$15)</f>
        <v>29330.011000000002</v>
      </c>
      <c r="AK24" s="315">
        <f>INDEX('Volume adjustments'!$J$527:$Y$567,AK$17 + 1 + $H24*$H$28, AK$15)</f>
        <v>0</v>
      </c>
      <c r="AL24" s="315">
        <f>INDEX('Volume adjustments'!$J$527:$Y$567,AL$17 + 1 + $H24*$H$28, AL$15)</f>
        <v>309.74</v>
      </c>
      <c r="AM24" s="315">
        <f>INDEX('Volume adjustments'!$J$527:$Y$567,AM$17 + 1 + $H24*$H$28, AM$15)</f>
        <v>0</v>
      </c>
      <c r="AN24" s="315">
        <f>INDEX('Volume adjustments'!$J$527:$Y$567,AN$17 + 1 + $H24*$H$28, AN$15)</f>
        <v>491598.924</v>
      </c>
      <c r="AO24" s="315">
        <f>INDEX('Volume adjustments'!$J$527:$Y$567,AO$17 + 1 + $H24*$H$28, AO$15)</f>
        <v>0</v>
      </c>
    </row>
    <row r="25" spans="3:43" x14ac:dyDescent="0.25">
      <c r="E25" s="89"/>
      <c r="F25" s="113" t="s">
        <v>212</v>
      </c>
      <c r="G25" s="113" t="s">
        <v>212</v>
      </c>
      <c r="H25" s="7">
        <v>3</v>
      </c>
      <c r="J25" s="315">
        <f>INDEX('Volume adjustments'!$J$527:$Y$567,J$17 + 1 + $H25*$H$28, J$15)</f>
        <v>1860265</v>
      </c>
      <c r="K25" s="315">
        <f>INDEX('Volume adjustments'!$J$527:$Y$567,K$17 + 1 + $H25*$H$28, K$15)</f>
        <v>90201</v>
      </c>
      <c r="L25" s="315">
        <f>INDEX('Volume adjustments'!$J$527:$Y$567,L$17 + 1 + $H25*$H$28, L$15)</f>
        <v>59</v>
      </c>
      <c r="M25" s="315">
        <f>INDEX('Volume adjustments'!$J$527:$Y$567,M$17 + 1 + $H25*$H$28, M$15)</f>
        <v>45050</v>
      </c>
      <c r="N25" s="315">
        <f>INDEX('Volume adjustments'!$J$527:$Y$567,N$17 + 1 + $H25*$H$28, N$15)</f>
        <v>37112</v>
      </c>
      <c r="O25" s="315">
        <f>INDEX('Volume adjustments'!$J$527:$Y$567,O$17 + 1 + $H25*$H$28, O$15)</f>
        <v>20997</v>
      </c>
      <c r="P25" s="315">
        <f>INDEX('Volume adjustments'!$J$527:$Y$567,P$17 + 1 + $H25*$H$28, P$15)</f>
        <v>21920</v>
      </c>
      <c r="Q25" s="315">
        <f>INDEX('Volume adjustments'!$J$527:$Y$567,Q$17 + 1 + $H25*$H$28, Q$15)</f>
        <v>5142</v>
      </c>
      <c r="R25" s="315">
        <f>INDEX('Volume adjustments'!$J$527:$Y$567,R$17 + 1 + $H25*$H$28, R$15)</f>
        <v>24</v>
      </c>
      <c r="S25" s="315">
        <f>INDEX('Volume adjustments'!$J$527:$Y$567,S$17 + 1 + $H25*$H$28, S$15)</f>
        <v>4569</v>
      </c>
      <c r="T25" s="315">
        <f>INDEX('Volume adjustments'!$J$527:$Y$567,T$17 + 1 + $H25*$H$28, T$15)</f>
        <v>3810</v>
      </c>
      <c r="U25" s="315">
        <f>INDEX('Volume adjustments'!$J$527:$Y$567,U$17 + 1 + $H25*$H$28, U$15)</f>
        <v>1287</v>
      </c>
      <c r="V25" s="315">
        <f>INDEX('Volume adjustments'!$J$527:$Y$567,V$17 + 1 + $H25*$H$28, V$15)</f>
        <v>1582</v>
      </c>
      <c r="W25" s="315">
        <f>INDEX('Volume adjustments'!$J$527:$Y$567,W$17 + 1 + $H25*$H$28, W$15)</f>
        <v>1</v>
      </c>
      <c r="X25" s="315">
        <f>INDEX('Volume adjustments'!$J$527:$Y$567,X$17 + 1 + $H25*$H$28, X$15)</f>
        <v>9</v>
      </c>
      <c r="Y25" s="315">
        <f>INDEX('Volume adjustments'!$J$527:$Y$567,Y$17 + 1 + $H25*$H$28, Y$15)</f>
        <v>23</v>
      </c>
      <c r="Z25" s="315">
        <f>INDEX('Volume adjustments'!$J$527:$Y$567,Z$17 + 1 + $H25*$H$28, Z$15)</f>
        <v>42</v>
      </c>
      <c r="AA25" s="315">
        <f>INDEX('Volume adjustments'!$J$527:$Y$567,AA$17 + 1 + $H25*$H$28, AA$15)</f>
        <v>208</v>
      </c>
      <c r="AB25" s="315">
        <f>INDEX('Volume adjustments'!$J$527:$Y$567,AB$17 + 1 + $H25*$H$28, AB$15)</f>
        <v>148</v>
      </c>
      <c r="AC25" s="315">
        <f>INDEX('Volume adjustments'!$J$527:$Y$567,AC$17 + 1 + $H25*$H$28, AC$15)</f>
        <v>348</v>
      </c>
      <c r="AD25" s="315">
        <f>INDEX('Volume adjustments'!$J$527:$Y$567,AD$17 + 1 + $H25*$H$28, AD$15)</f>
        <v>401</v>
      </c>
      <c r="AE25" s="315">
        <f>INDEX('Volume adjustments'!$J$527:$Y$567,AE$17 + 1 + $H25*$H$28, AE$15)</f>
        <v>180</v>
      </c>
      <c r="AF25" s="315">
        <f>INDEX('Volume adjustments'!$J$527:$Y$567,AF$17 + 1 + $H25*$H$28, AF$15)</f>
        <v>205</v>
      </c>
      <c r="AG25" s="315">
        <f>INDEX('Volume adjustments'!$J$527:$Y$567,AG$17 + 1 + $H25*$H$28, AG$15)</f>
        <v>4855</v>
      </c>
      <c r="AH25" s="315">
        <f>INDEX('Volume adjustments'!$J$527:$Y$567,AH$17 + 1 + $H25*$H$28, AH$15)</f>
        <v>14150.894574354708</v>
      </c>
      <c r="AI25" s="315">
        <f>INDEX('Volume adjustments'!$J$527:$Y$567,AI$17 + 1 + $H25*$H$28, AI$15)</f>
        <v>7</v>
      </c>
      <c r="AJ25" s="315">
        <f>INDEX('Volume adjustments'!$J$527:$Y$567,AJ$17 + 1 + $H25*$H$28, AJ$15)</f>
        <v>549</v>
      </c>
      <c r="AK25" s="315">
        <f>INDEX('Volume adjustments'!$J$527:$Y$567,AK$17 + 1 + $H25*$H$28, AK$15)</f>
        <v>0</v>
      </c>
      <c r="AL25" s="315">
        <f>INDEX('Volume adjustments'!$J$527:$Y$567,AL$17 + 1 + $H25*$H$28, AL$15)</f>
        <v>9</v>
      </c>
      <c r="AM25" s="315">
        <f>INDEX('Volume adjustments'!$J$527:$Y$567,AM$17 + 1 + $H25*$H$28, AM$15)</f>
        <v>0</v>
      </c>
      <c r="AN25" s="315">
        <f>INDEX('Volume adjustments'!$J$527:$Y$567,AN$17 + 1 + $H25*$H$28, AN$15)</f>
        <v>263</v>
      </c>
      <c r="AO25" s="315">
        <f>INDEX('Volume adjustments'!$J$527:$Y$567,AO$17 + 1 + $H25*$H$28, AO$15)</f>
        <v>0</v>
      </c>
    </row>
    <row r="26" spans="3:43" x14ac:dyDescent="0.25">
      <c r="E26" s="89"/>
      <c r="F26" s="113" t="s">
        <v>250</v>
      </c>
      <c r="G26" s="113" t="s">
        <v>251</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992</v>
      </c>
      <c r="S26" s="315">
        <f>INDEX('Volume adjustments'!$J$527:$Y$567,S$17 + 1 + $H26*$H$28, S$15)</f>
        <v>255295</v>
      </c>
      <c r="T26" s="315">
        <f>INDEX('Volume adjustments'!$J$527:$Y$567,T$17 + 1 + $H26*$H$28, T$15)</f>
        <v>427058</v>
      </c>
      <c r="U26" s="315">
        <f>INDEX('Volume adjustments'!$J$527:$Y$567,U$17 + 1 + $H26*$H$28, U$15)</f>
        <v>238424</v>
      </c>
      <c r="V26" s="315">
        <f>INDEX('Volume adjustments'!$J$527:$Y$567,V$17 + 1 + $H26*$H$28, V$15)</f>
        <v>618955</v>
      </c>
      <c r="W26" s="315">
        <f>INDEX('Volume adjustments'!$J$527:$Y$567,W$17 + 1 + $H26*$H$28, W$15)</f>
        <v>8</v>
      </c>
      <c r="X26" s="315">
        <f>INDEX('Volume adjustments'!$J$527:$Y$567,X$17 + 1 + $H26*$H$28, X$15)</f>
        <v>456</v>
      </c>
      <c r="Y26" s="315">
        <f>INDEX('Volume adjustments'!$J$527:$Y$567,Y$17 + 1 + $H26*$H$28, Y$15)</f>
        <v>2620</v>
      </c>
      <c r="Z26" s="315">
        <f>INDEX('Volume adjustments'!$J$527:$Y$567,Z$17 + 1 + $H26*$H$28, Z$15)</f>
        <v>8152</v>
      </c>
      <c r="AA26" s="315">
        <f>INDEX('Volume adjustments'!$J$527:$Y$567,AA$17 + 1 + $H26*$H$28, AA$15)</f>
        <v>98526</v>
      </c>
      <c r="AB26" s="315">
        <f>INDEX('Volume adjustments'!$J$527:$Y$567,AB$17 + 1 + $H26*$H$28, AB$15)</f>
        <v>14725</v>
      </c>
      <c r="AC26" s="315">
        <f>INDEX('Volume adjustments'!$J$527:$Y$567,AC$17 + 1 + $H26*$H$28, AC$15)</f>
        <v>71484</v>
      </c>
      <c r="AD26" s="315">
        <f>INDEX('Volume adjustments'!$J$527:$Y$567,AD$17 + 1 + $H26*$H$28, AD$15)</f>
        <v>278962</v>
      </c>
      <c r="AE26" s="315">
        <f>INDEX('Volume adjustments'!$J$527:$Y$567,AE$17 + 1 + $H26*$H$28, AE$15)</f>
        <v>245287</v>
      </c>
      <c r="AF26" s="315">
        <f>INDEX('Volume adjustments'!$J$527:$Y$567,AF$17 + 1 + $H26*$H$28, AF$15)</f>
        <v>708459</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252</v>
      </c>
      <c r="G27" s="113" t="s">
        <v>251</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23.583333333333332</v>
      </c>
      <c r="S27" s="315">
        <f>INDEX('Volume adjustments'!$J$527:$Y$567,S$17 + 1 + $H27*$H$28, S$15)</f>
        <v>12629.416666666668</v>
      </c>
      <c r="T27" s="315">
        <f>INDEX('Volume adjustments'!$J$527:$Y$567,T$17 + 1 + $H27*$H$28, T$15)</f>
        <v>6636.25</v>
      </c>
      <c r="U27" s="315">
        <f>INDEX('Volume adjustments'!$J$527:$Y$567,U$17 + 1 + $H27*$H$28, U$15)</f>
        <v>1211.1666666666667</v>
      </c>
      <c r="V27" s="315">
        <f>INDEX('Volume adjustments'!$J$527:$Y$567,V$17 + 1 + $H27*$H$28, V$15)</f>
        <v>1702.5833333333335</v>
      </c>
      <c r="W27" s="315">
        <f>INDEX('Volume adjustments'!$J$527:$Y$567,W$17 + 1 + $H27*$H$28, W$15)</f>
        <v>10.416666666666666</v>
      </c>
      <c r="X27" s="315">
        <f>INDEX('Volume adjustments'!$J$527:$Y$567,X$17 + 1 + $H27*$H$28, X$15)</f>
        <v>310.16666666666663</v>
      </c>
      <c r="Y27" s="315">
        <f>INDEX('Volume adjustments'!$J$527:$Y$567,Y$17 + 1 + $H27*$H$28, Y$15)</f>
        <v>240.66666666666666</v>
      </c>
      <c r="Z27" s="315">
        <f>INDEX('Volume adjustments'!$J$527:$Y$567,Z$17 + 1 + $H27*$H$28, Z$15)</f>
        <v>59.583333333333336</v>
      </c>
      <c r="AA27" s="315">
        <f>INDEX('Volume adjustments'!$J$527:$Y$567,AA$17 + 1 + $H27*$H$28, AA$15)</f>
        <v>348.83333333333331</v>
      </c>
      <c r="AB27" s="315">
        <f>INDEX('Volume adjustments'!$J$527:$Y$567,AB$17 + 1 + $H27*$H$28, AB$15)</f>
        <v>1297.6666666666667</v>
      </c>
      <c r="AC27" s="315">
        <f>INDEX('Volume adjustments'!$J$527:$Y$567,AC$17 + 1 + $H27*$H$28, AC$15)</f>
        <v>4117.416666666667</v>
      </c>
      <c r="AD27" s="315">
        <f>INDEX('Volume adjustments'!$J$527:$Y$567,AD$17 + 1 + $H27*$H$28, AD$15)</f>
        <v>1776.0833333333335</v>
      </c>
      <c r="AE27" s="315">
        <f>INDEX('Volume adjustments'!$J$527:$Y$567,AE$17 + 1 + $H27*$H$28, AE$15)</f>
        <v>1505.75</v>
      </c>
      <c r="AF27" s="315">
        <f>INDEX('Volume adjustments'!$J$527:$Y$567,AF$17 + 1 + $H27*$H$28, AF$15)</f>
        <v>3677.916666666667</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253</v>
      </c>
      <c r="G28" s="115" t="s">
        <v>254</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57.555</v>
      </c>
      <c r="S28" s="257">
        <f>INDEX('Volume adjustments'!$J$527:$Y$567,S$17 + 1 + $H28*$H$28, S$15)</f>
        <v>46848.589</v>
      </c>
      <c r="T28" s="257">
        <f>INDEX('Volume adjustments'!$J$527:$Y$567,T$17 + 1 + $H28*$H$28, T$15)</f>
        <v>57512.046000000002</v>
      </c>
      <c r="U28" s="257">
        <f>INDEX('Volume adjustments'!$J$527:$Y$567,U$17 + 1 + $H28*$H$28, U$15)</f>
        <v>30747.198</v>
      </c>
      <c r="V28" s="257">
        <f>INDEX('Volume adjustments'!$J$527:$Y$567,V$17 + 1 + $H28*$H$28, V$15)</f>
        <v>80417.395999999993</v>
      </c>
      <c r="W28" s="257">
        <f>INDEX('Volume adjustments'!$J$527:$Y$567,W$17 + 1 + $H28*$H$28, W$15)</f>
        <v>2.9279999999999999</v>
      </c>
      <c r="X28" s="257">
        <f>INDEX('Volume adjustments'!$J$527:$Y$567,X$17 + 1 + $H28*$H$28, X$15)</f>
        <v>657.54399999999998</v>
      </c>
      <c r="Y28" s="257">
        <f>INDEX('Volume adjustments'!$J$527:$Y$567,Y$17 + 1 + $H28*$H$28, Y$15)</f>
        <v>552.947</v>
      </c>
      <c r="Z28" s="257">
        <f>INDEX('Volume adjustments'!$J$527:$Y$567,Z$17 + 1 + $H28*$H$28, Z$15)</f>
        <v>2099.2820000000002</v>
      </c>
      <c r="AA28" s="257">
        <f>INDEX('Volume adjustments'!$J$527:$Y$567,AA$17 + 1 + $H28*$H$28, AA$15)</f>
        <v>17471.467000000001</v>
      </c>
      <c r="AB28" s="257">
        <f>INDEX('Volume adjustments'!$J$527:$Y$567,AB$17 + 1 + $H28*$H$28, AB$15)</f>
        <v>1841.1489999999999</v>
      </c>
      <c r="AC28" s="257">
        <f>INDEX('Volume adjustments'!$J$527:$Y$567,AC$17 + 1 + $H28*$H$28, AC$15)</f>
        <v>21709.762999999999</v>
      </c>
      <c r="AD28" s="257">
        <f>INDEX('Volume adjustments'!$J$527:$Y$567,AD$17 + 1 + $H28*$H$28, AD$15)</f>
        <v>33920.678999999996</v>
      </c>
      <c r="AE28" s="257">
        <f>INDEX('Volume adjustments'!$J$527:$Y$567,AE$17 + 1 + $H28*$H$28, AE$15)</f>
        <v>30634.602999999999</v>
      </c>
      <c r="AF28" s="257">
        <f>INDEX('Volume adjustments'!$J$527:$Y$567,AF$17 + 1 + $H28*$H$28, AF$15)</f>
        <v>131681.10200000001</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6086.3360000000011</v>
      </c>
      <c r="AK28" s="257">
        <f>INDEX('Volume adjustments'!$J$527:$Y$567,AK$17 + 1 + $H28*$H$28, AK$15)</f>
        <v>0</v>
      </c>
      <c r="AL28" s="257">
        <f>INDEX('Volume adjustments'!$J$527:$Y$567,AL$17 + 1 + $H28*$H$28, AL$15)</f>
        <v>184.05</v>
      </c>
      <c r="AM28" s="257">
        <f>INDEX('Volume adjustments'!$J$527:$Y$567,AM$17 + 1 + $H28*$H$28, AM$15)</f>
        <v>0</v>
      </c>
      <c r="AN28" s="257">
        <f>INDEX('Volume adjustments'!$J$527:$Y$567,AN$17 + 1 + $H28*$H$28, AN$15)</f>
        <v>18732.55</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255</v>
      </c>
      <c r="F30" s="124"/>
      <c r="G30" s="124"/>
      <c r="I30" t="s">
        <v>154</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246</v>
      </c>
    </row>
    <row r="31" spans="3:43" x14ac:dyDescent="0.25">
      <c r="E31" s="60"/>
      <c r="F31" s="71" t="s">
        <v>1025</v>
      </c>
    </row>
    <row r="32" spans="3:43" x14ac:dyDescent="0.25">
      <c r="E32" s="60"/>
      <c r="F32" s="357" t="s">
        <v>1021</v>
      </c>
      <c r="G32" s="91"/>
    </row>
    <row r="33" spans="5:43" x14ac:dyDescent="0.25">
      <c r="F33" s="113" t="s">
        <v>247</v>
      </c>
      <c r="G33" s="113" t="s">
        <v>207</v>
      </c>
      <c r="H33" s="8">
        <v>0</v>
      </c>
      <c r="I33" s="90"/>
      <c r="J33" s="258">
        <f>INDEX('Volume adjustments'!$J$571:$Y$611,J$17 + 1 + $H33*$H$39, J$15)</f>
        <v>20800.944795377112</v>
      </c>
      <c r="K33" s="258">
        <f>INDEX('Volume adjustments'!$J$571:$Y$611,K$17 + 1 + $H33*$H$39, K$15)</f>
        <v>1.5478688524590165</v>
      </c>
      <c r="L33" s="258">
        <f>INDEX('Volume adjustments'!$J$571:$Y$611,L$17 + 1 + $H33*$H$39, L$15)</f>
        <v>0</v>
      </c>
      <c r="M33" s="258">
        <f>INDEX('Volume adjustments'!$J$571:$Y$611,M$17 + 1 + $H33*$H$39, M$15)</f>
        <v>171.93370777999971</v>
      </c>
      <c r="N33" s="258">
        <f>INDEX('Volume adjustments'!$J$571:$Y$611,N$17 + 1 + $H33*$H$39, N$15)</f>
        <v>238.96571269020731</v>
      </c>
      <c r="O33" s="258">
        <f>INDEX('Volume adjustments'!$J$571:$Y$611,O$17 + 1 + $H33*$H$39, O$15)</f>
        <v>158.34764941383807</v>
      </c>
      <c r="P33" s="258">
        <f>INDEX('Volume adjustments'!$J$571:$Y$611,P$17 + 1 + $H33*$H$39, P$15)</f>
        <v>257.98268154216731</v>
      </c>
      <c r="Q33" s="258">
        <f>INDEX('Volume adjustments'!$J$571:$Y$611,Q$17 + 1 + $H33*$H$39, Q$15)</f>
        <v>0</v>
      </c>
      <c r="R33" s="258">
        <f>INDEX('Volume adjustments'!$J$571:$Y$611,R$17 + 1 + $H33*$H$39, R$15)</f>
        <v>0</v>
      </c>
      <c r="S33" s="258">
        <f>INDEX('Volume adjustments'!$J$571:$Y$611,S$17 + 1 + $H33*$H$39, S$15)</f>
        <v>273.19500000000005</v>
      </c>
      <c r="T33" s="258">
        <f>INDEX('Volume adjustments'!$J$571:$Y$611,T$17 + 1 + $H33*$H$39, T$15)</f>
        <v>526.68299999999999</v>
      </c>
      <c r="U33" s="258">
        <f>INDEX('Volume adjustments'!$J$571:$Y$611,U$17 + 1 + $H33*$H$39, U$15)</f>
        <v>1094.922</v>
      </c>
      <c r="V33" s="258">
        <f>INDEX('Volume adjustments'!$J$571:$Y$611,V$17 + 1 + $H33*$H$39, V$15)</f>
        <v>338.16999999999996</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22.985167530544242</v>
      </c>
      <c r="AH33" s="258">
        <f>INDEX('Volume adjustments'!$J$571:$Y$611,AH$17 + 1 + $H33*$H$39, AH$15)</f>
        <v>615.75443298228117</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248</v>
      </c>
      <c r="G34" s="113" t="s">
        <v>207</v>
      </c>
      <c r="H34" s="7">
        <v>1</v>
      </c>
      <c r="J34" s="315">
        <f>INDEX('Volume adjustments'!$J$571:$Y$611,J$17 + 1 + $H34*$H$39, J$15)</f>
        <v>76551.123397066825</v>
      </c>
      <c r="K34" s="315">
        <f>INDEX('Volume adjustments'!$J$571:$Y$611,K$17 + 1 + $H34*$H$39, K$15)</f>
        <v>27.072885245901642</v>
      </c>
      <c r="L34" s="315">
        <f>INDEX('Volume adjustments'!$J$571:$Y$611,L$17 + 1 + $H34*$H$39, L$15)</f>
        <v>0</v>
      </c>
      <c r="M34" s="315">
        <f>INDEX('Volume adjustments'!$J$571:$Y$611,M$17 + 1 + $H34*$H$39, M$15)</f>
        <v>890.32175082953381</v>
      </c>
      <c r="N34" s="315">
        <f>INDEX('Volume adjustments'!$J$571:$Y$611,N$17 + 1 + $H34*$H$39, N$15)</f>
        <v>1237.4936491473559</v>
      </c>
      <c r="O34" s="315">
        <f>INDEX('Volume adjustments'!$J$571:$Y$611,O$17 + 1 + $H34*$H$39, O$15)</f>
        <v>824.82480682068524</v>
      </c>
      <c r="P34" s="315">
        <f>INDEX('Volume adjustments'!$J$571:$Y$611,P$17 + 1 + $H34*$H$39, P$15)</f>
        <v>1331.4089514678299</v>
      </c>
      <c r="Q34" s="315">
        <f>INDEX('Volume adjustments'!$J$571:$Y$611,Q$17 + 1 + $H34*$H$39, Q$15)</f>
        <v>0</v>
      </c>
      <c r="R34" s="315">
        <f>INDEX('Volume adjustments'!$J$571:$Y$611,R$17 + 1 + $H34*$H$39, R$15)</f>
        <v>0</v>
      </c>
      <c r="S34" s="315">
        <f>INDEX('Volume adjustments'!$J$571:$Y$611,S$17 + 1 + $H34*$H$39, S$15)</f>
        <v>1365.367</v>
      </c>
      <c r="T34" s="315">
        <f>INDEX('Volume adjustments'!$J$571:$Y$611,T$17 + 1 + $H34*$H$39, T$15)</f>
        <v>2437.8400000000006</v>
      </c>
      <c r="U34" s="315">
        <f>INDEX('Volume adjustments'!$J$571:$Y$611,U$17 + 1 + $H34*$H$39, U$15)</f>
        <v>4787.7110000000002</v>
      </c>
      <c r="V34" s="315">
        <f>INDEX('Volume adjustments'!$J$571:$Y$611,V$17 + 1 + $H34*$H$39, V$15)</f>
        <v>1509.8209999999999</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327.55783312906374</v>
      </c>
      <c r="AH34" s="315">
        <f>INDEX('Volume adjustments'!$J$571:$Y$611,AH$17 + 1 + $H34*$H$39, AH$15)</f>
        <v>3480.0674308284702</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249</v>
      </c>
      <c r="G35" s="113" t="s">
        <v>207</v>
      </c>
      <c r="H35" s="7">
        <v>2</v>
      </c>
      <c r="J35" s="315">
        <f>INDEX('Volume adjustments'!$J$571:$Y$611,J$17 + 1 + $H35*$H$39, J$15)</f>
        <v>66125.185859945428</v>
      </c>
      <c r="K35" s="315">
        <f>INDEX('Volume adjustments'!$J$571:$Y$611,K$17 + 1 + $H35*$H$39, K$15)</f>
        <v>137.73013114754099</v>
      </c>
      <c r="L35" s="315">
        <f>INDEX('Volume adjustments'!$J$571:$Y$611,L$17 + 1 + $H35*$H$39, L$15)</f>
        <v>0</v>
      </c>
      <c r="M35" s="315">
        <f>INDEX('Volume adjustments'!$J$571:$Y$611,M$17 + 1 + $H35*$H$39, M$15)</f>
        <v>695.67973786125947</v>
      </c>
      <c r="N35" s="315">
        <f>INDEX('Volume adjustments'!$J$571:$Y$611,N$17 + 1 + $H35*$H$39, N$15)</f>
        <v>968.95806960186758</v>
      </c>
      <c r="O35" s="315">
        <f>INDEX('Volume adjustments'!$J$571:$Y$611,O$17 + 1 + $H35*$H$39, O$15)</f>
        <v>652.901635084708</v>
      </c>
      <c r="P35" s="315">
        <f>INDEX('Volume adjustments'!$J$571:$Y$611,P$17 + 1 + $H35*$H$39, P$15)</f>
        <v>1049.2257584326837</v>
      </c>
      <c r="Q35" s="315">
        <f>INDEX('Volume adjustments'!$J$571:$Y$611,Q$17 + 1 + $H35*$H$39, Q$15)</f>
        <v>0</v>
      </c>
      <c r="R35" s="315">
        <f>INDEX('Volume adjustments'!$J$571:$Y$611,R$17 + 1 + $H35*$H$39, R$15)</f>
        <v>0</v>
      </c>
      <c r="S35" s="315">
        <f>INDEX('Volume adjustments'!$J$571:$Y$611,S$17 + 1 + $H35*$H$39, S$15)</f>
        <v>1972.5240000000003</v>
      </c>
      <c r="T35" s="315">
        <f>INDEX('Volume adjustments'!$J$571:$Y$611,T$17 + 1 + $H35*$H$39, T$15)</f>
        <v>1967.1180000000002</v>
      </c>
      <c r="U35" s="315">
        <f>INDEX('Volume adjustments'!$J$571:$Y$611,U$17 + 1 + $H35*$H$39, U$15)</f>
        <v>4540.0029999999997</v>
      </c>
      <c r="V35" s="315">
        <f>INDEX('Volume adjustments'!$J$571:$Y$611,V$17 + 1 + $H35*$H$39, V$15)</f>
        <v>1369.2670000000001</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357.92923139806027</v>
      </c>
      <c r="AH35" s="315">
        <f>INDEX('Volume adjustments'!$J$571:$Y$611,AH$17 + 1 + $H35*$H$39, AH$15)</f>
        <v>1554.6667235714485</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212</v>
      </c>
      <c r="G36" s="113" t="s">
        <v>212</v>
      </c>
      <c r="H36" s="7">
        <v>3</v>
      </c>
      <c r="J36" s="315">
        <f>INDEX('Volume adjustments'!$J$571:$Y$611,J$17 + 1 + $H36*$H$39, J$15)</f>
        <v>59513</v>
      </c>
      <c r="K36" s="315">
        <f>INDEX('Volume adjustments'!$J$571:$Y$611,K$17 + 1 + $H36*$H$39, K$15)</f>
        <v>60</v>
      </c>
      <c r="L36" s="315">
        <f>INDEX('Volume adjustments'!$J$571:$Y$611,L$17 + 1 + $H36*$H$39, L$15)</f>
        <v>0</v>
      </c>
      <c r="M36" s="315">
        <f>INDEX('Volume adjustments'!$J$571:$Y$611,M$17 + 1 + $H36*$H$39, M$15)</f>
        <v>687</v>
      </c>
      <c r="N36" s="315">
        <f>INDEX('Volume adjustments'!$J$571:$Y$611,N$17 + 1 + $H36*$H$39, N$15)</f>
        <v>368</v>
      </c>
      <c r="O36" s="315">
        <f>INDEX('Volume adjustments'!$J$571:$Y$611,O$17 + 1 + $H36*$H$39, O$15)</f>
        <v>166</v>
      </c>
      <c r="P36" s="315">
        <f>INDEX('Volume adjustments'!$J$571:$Y$611,P$17 + 1 + $H36*$H$39, P$15)</f>
        <v>107</v>
      </c>
      <c r="Q36" s="315">
        <f>INDEX('Volume adjustments'!$J$571:$Y$611,Q$17 + 1 + $H36*$H$39, Q$15)</f>
        <v>0</v>
      </c>
      <c r="R36" s="315">
        <f>INDEX('Volume adjustments'!$J$571:$Y$611,R$17 + 1 + $H36*$H$39, R$15)</f>
        <v>0</v>
      </c>
      <c r="S36" s="315">
        <f>INDEX('Volume adjustments'!$J$571:$Y$611,S$17 + 1 + $H36*$H$39, S$15)</f>
        <v>38</v>
      </c>
      <c r="T36" s="315">
        <f>INDEX('Volume adjustments'!$J$571:$Y$611,T$17 + 1 + $H36*$H$39, T$15)</f>
        <v>47</v>
      </c>
      <c r="U36" s="315">
        <f>INDEX('Volume adjustments'!$J$571:$Y$611,U$17 + 1 + $H36*$H$39, U$15)</f>
        <v>44</v>
      </c>
      <c r="V36" s="315">
        <f>INDEX('Volume adjustments'!$J$571:$Y$611,V$17 + 1 + $H36*$H$39, V$15)</f>
        <v>17</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84</v>
      </c>
      <c r="AH36" s="315">
        <f>INDEX('Volume adjustments'!$J$571:$Y$611,AH$17 + 1 + $H36*$H$39, AH$15)</f>
        <v>279</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250</v>
      </c>
      <c r="G37" s="113" t="s">
        <v>251</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2089</v>
      </c>
      <c r="T37" s="315">
        <f>INDEX('Volume adjustments'!$J$571:$Y$611,T$17 + 1 + $H37*$H$39, T$15)</f>
        <v>5053</v>
      </c>
      <c r="U37" s="315">
        <f>INDEX('Volume adjustments'!$J$571:$Y$611,U$17 + 1 + $H37*$H$39, U$15)</f>
        <v>8135</v>
      </c>
      <c r="V37" s="315">
        <f>INDEX('Volume adjustments'!$J$571:$Y$611,V$17 + 1 + $H37*$H$39, V$15)</f>
        <v>7497</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252</v>
      </c>
      <c r="G38" s="113" t="s">
        <v>251</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1519</v>
      </c>
      <c r="T38" s="315">
        <f>INDEX('Volume adjustments'!$J$571:$Y$611,T$17 + 1 + $H38*$H$39, T$15)</f>
        <v>0</v>
      </c>
      <c r="U38" s="315">
        <f>INDEX('Volume adjustments'!$J$571:$Y$611,U$17 + 1 + $H38*$H$39, U$15)</f>
        <v>0</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253</v>
      </c>
      <c r="G39" s="115" t="s">
        <v>254</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317.90800000000002</v>
      </c>
      <c r="T39" s="257">
        <f>INDEX('Volume adjustments'!$J$571:$Y$611,T$17 + 1 + $H39*$H$39, T$15)</f>
        <v>610.47</v>
      </c>
      <c r="U39" s="257">
        <f>INDEX('Volume adjustments'!$J$571:$Y$611,U$17 + 1 + $H39*$H$39, U$15)</f>
        <v>593.77800000000002</v>
      </c>
      <c r="V39" s="257">
        <f>INDEX('Volume adjustments'!$J$571:$Y$611,V$17 + 1 + $H39*$H$39, V$15)</f>
        <v>194.316</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256</v>
      </c>
      <c r="F41" s="124"/>
      <c r="G41" s="124"/>
      <c r="I41" t="s">
        <v>154</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246</v>
      </c>
    </row>
    <row r="42" spans="5:43" x14ac:dyDescent="0.25">
      <c r="E42" s="60"/>
      <c r="F42" s="71" t="s">
        <v>1025</v>
      </c>
    </row>
    <row r="43" spans="5:43" x14ac:dyDescent="0.25">
      <c r="E43" s="60"/>
      <c r="F43" s="357" t="s">
        <v>1021</v>
      </c>
      <c r="G43" s="91"/>
    </row>
    <row r="44" spans="5:43" x14ac:dyDescent="0.25">
      <c r="E44" s="89"/>
      <c r="F44" s="113" t="s">
        <v>247</v>
      </c>
      <c r="G44" s="113" t="s">
        <v>207</v>
      </c>
      <c r="H44" s="8">
        <v>0</v>
      </c>
      <c r="I44" s="90"/>
      <c r="J44" s="258">
        <f>INDEX('Volume adjustments'!$J$615:$Y$655,J$17 + 1 + $H44*$H$50, J$15)</f>
        <v>31822.604696478476</v>
      </c>
      <c r="K44" s="258">
        <f>INDEX('Volume adjustments'!$J$615:$Y$655,K$17 + 1 + $H44*$H$50, K$15)</f>
        <v>0</v>
      </c>
      <c r="L44" s="258">
        <f>INDEX('Volume adjustments'!$J$615:$Y$655,L$17 + 1 + $H44*$H$50, L$15)</f>
        <v>0</v>
      </c>
      <c r="M44" s="258">
        <f>INDEX('Volume adjustments'!$J$615:$Y$655,M$17 + 1 + $H44*$H$50, M$15)</f>
        <v>272.59767908914301</v>
      </c>
      <c r="N44" s="258">
        <f>INDEX('Volume adjustments'!$J$615:$Y$655,N$17 + 1 + $H44*$H$50, N$15)</f>
        <v>376.95201120233037</v>
      </c>
      <c r="O44" s="258">
        <f>INDEX('Volume adjustments'!$J$615:$Y$655,O$17 + 1 + $H44*$H$50, O$15)</f>
        <v>551.49287055389118</v>
      </c>
      <c r="P44" s="258">
        <f>INDEX('Volume adjustments'!$J$615:$Y$655,P$17 + 1 + $H44*$H$50, P$15)</f>
        <v>1064.8127993051485</v>
      </c>
      <c r="Q44" s="258">
        <f>INDEX('Volume adjustments'!$J$615:$Y$655,Q$17 + 1 + $H44*$H$50, Q$15)</f>
        <v>0</v>
      </c>
      <c r="R44" s="258">
        <f>INDEX('Volume adjustments'!$J$615:$Y$655,R$17 + 1 + $H44*$H$50, R$15)</f>
        <v>0</v>
      </c>
      <c r="S44" s="258">
        <f>INDEX('Volume adjustments'!$J$615:$Y$655,S$17 + 1 + $H44*$H$50, S$15)</f>
        <v>1060.623</v>
      </c>
      <c r="T44" s="258">
        <f>INDEX('Volume adjustments'!$J$615:$Y$655,T$17 + 1 + $H44*$H$50, T$15)</f>
        <v>2639.4720000000002</v>
      </c>
      <c r="U44" s="258">
        <f>INDEX('Volume adjustments'!$J$615:$Y$655,U$17 + 1 + $H44*$H$50, U$15)</f>
        <v>3418.0200000000004</v>
      </c>
      <c r="V44" s="258">
        <f>INDEX('Volume adjustments'!$J$615:$Y$655,V$17 + 1 + $H44*$H$50, V$15)</f>
        <v>8785.0440000000017</v>
      </c>
      <c r="W44" s="258">
        <f>INDEX('Volume adjustments'!$J$615:$Y$655,W$17 + 1 + $H44*$H$50, W$15)</f>
        <v>0</v>
      </c>
      <c r="X44" s="258">
        <f>INDEX('Volume adjustments'!$J$615:$Y$655,X$17 + 1 + $H44*$H$50, X$15)</f>
        <v>0</v>
      </c>
      <c r="Y44" s="258">
        <f>INDEX('Volume adjustments'!$J$615:$Y$655,Y$17 + 1 + $H44*$H$50, Y$15)</f>
        <v>116.745</v>
      </c>
      <c r="Z44" s="258">
        <f>INDEX('Volume adjustments'!$J$615:$Y$655,Z$17 + 1 + $H44*$H$50, Z$15)</f>
        <v>49.131</v>
      </c>
      <c r="AA44" s="258">
        <f>INDEX('Volume adjustments'!$J$615:$Y$655,AA$17 + 1 + $H44*$H$50, AA$15)</f>
        <v>3633.603000000001</v>
      </c>
      <c r="AB44" s="258">
        <f>INDEX('Volume adjustments'!$J$615:$Y$655,AB$17 + 1 + $H44*$H$50, AB$15)</f>
        <v>0</v>
      </c>
      <c r="AC44" s="258">
        <f>INDEX('Volume adjustments'!$J$615:$Y$655,AC$17 + 1 + $H44*$H$50, AC$15)</f>
        <v>935.44699999999989</v>
      </c>
      <c r="AD44" s="258">
        <f>INDEX('Volume adjustments'!$J$615:$Y$655,AD$17 + 1 + $H44*$H$50, AD$15)</f>
        <v>1159.1999999999998</v>
      </c>
      <c r="AE44" s="258">
        <f>INDEX('Volume adjustments'!$J$615:$Y$655,AE$17 + 1 + $H44*$H$50, AE$15)</f>
        <v>1527.7200000000003</v>
      </c>
      <c r="AF44" s="258">
        <f>INDEX('Volume adjustments'!$J$615:$Y$655,AF$17 + 1 + $H44*$H$50, AF$15)</f>
        <v>1498.6760000000002</v>
      </c>
      <c r="AG44" s="258">
        <f>INDEX('Volume adjustments'!$J$615:$Y$655,AG$17 + 1 + $H44*$H$50, AG$15)</f>
        <v>18.416884893455101</v>
      </c>
      <c r="AH44" s="258">
        <f>INDEX('Volume adjustments'!$J$615:$Y$655,AH$17 + 1 + $H44*$H$50, AH$15)</f>
        <v>4185.4514724520768</v>
      </c>
      <c r="AI44" s="258">
        <f>INDEX('Volume adjustments'!$J$615:$Y$655,AI$17 + 1 + $H44*$H$50, AI$15)</f>
        <v>0</v>
      </c>
      <c r="AJ44" s="258">
        <f>INDEX('Volume adjustments'!$J$615:$Y$655,AJ$17 + 1 + $H44*$H$50, AJ$15)</f>
        <v>4.4000000000000011E-2</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0</v>
      </c>
      <c r="AO44" s="258">
        <f>INDEX('Volume adjustments'!$J$615:$Y$655,AO$17 + 1 + $H44*$H$50, AO$15)</f>
        <v>0</v>
      </c>
    </row>
    <row r="45" spans="5:43" x14ac:dyDescent="0.25">
      <c r="E45" s="89"/>
      <c r="F45" s="113" t="s">
        <v>248</v>
      </c>
      <c r="G45" s="113" t="s">
        <v>207</v>
      </c>
      <c r="H45" s="7">
        <v>1</v>
      </c>
      <c r="J45" s="315">
        <f>INDEX('Volume adjustments'!$J$615:$Y$655,J$17 + 1 + $H45*$H$50, J$15)</f>
        <v>112500.30860353298</v>
      </c>
      <c r="K45" s="315">
        <f>INDEX('Volume adjustments'!$J$615:$Y$655,K$17 + 1 + $H45*$H$50, K$15)</f>
        <v>14.669999999999998</v>
      </c>
      <c r="L45" s="315">
        <f>INDEX('Volume adjustments'!$J$615:$Y$655,L$17 + 1 + $H45*$H$50, L$15)</f>
        <v>0</v>
      </c>
      <c r="M45" s="315">
        <f>INDEX('Volume adjustments'!$J$615:$Y$655,M$17 + 1 + $H45*$H$50, M$15)</f>
        <v>1413.8117922750191</v>
      </c>
      <c r="N45" s="315">
        <f>INDEX('Volume adjustments'!$J$615:$Y$655,N$17 + 1 + $H45*$H$50, N$15)</f>
        <v>1952.3763872739405</v>
      </c>
      <c r="O45" s="315">
        <f>INDEX('Volume adjustments'!$J$615:$Y$655,O$17 + 1 + $H45*$H$50, O$15)</f>
        <v>2847.8755443340997</v>
      </c>
      <c r="P45" s="315">
        <f>INDEX('Volume adjustments'!$J$615:$Y$655,P$17 + 1 + $H45*$H$50, P$15)</f>
        <v>5498.5045368633428</v>
      </c>
      <c r="Q45" s="315">
        <f>INDEX('Volume adjustments'!$J$615:$Y$655,Q$17 + 1 + $H45*$H$50, Q$15)</f>
        <v>0</v>
      </c>
      <c r="R45" s="315">
        <f>INDEX('Volume adjustments'!$J$615:$Y$655,R$17 + 1 + $H45*$H$50, R$15)</f>
        <v>0</v>
      </c>
      <c r="S45" s="315">
        <f>INDEX('Volume adjustments'!$J$615:$Y$655,S$17 + 1 + $H45*$H$50, S$15)</f>
        <v>4602.2050000000008</v>
      </c>
      <c r="T45" s="315">
        <f>INDEX('Volume adjustments'!$J$615:$Y$655,T$17 + 1 + $H45*$H$50, T$15)</f>
        <v>11199.531000000001</v>
      </c>
      <c r="U45" s="315">
        <f>INDEX('Volume adjustments'!$J$615:$Y$655,U$17 + 1 + $H45*$H$50, U$15)</f>
        <v>14756.190999999999</v>
      </c>
      <c r="V45" s="315">
        <f>INDEX('Volume adjustments'!$J$615:$Y$655,V$17 + 1 + $H45*$H$50, V$15)</f>
        <v>39880.716999999997</v>
      </c>
      <c r="W45" s="315">
        <f>INDEX('Volume adjustments'!$J$615:$Y$655,W$17 + 1 + $H45*$H$50, W$15)</f>
        <v>0</v>
      </c>
      <c r="X45" s="315">
        <f>INDEX('Volume adjustments'!$J$615:$Y$655,X$17 + 1 + $H45*$H$50, X$15)</f>
        <v>0</v>
      </c>
      <c r="Y45" s="315">
        <f>INDEX('Volume adjustments'!$J$615:$Y$655,Y$17 + 1 + $H45*$H$50, Y$15)</f>
        <v>484.83300000000008</v>
      </c>
      <c r="Z45" s="315">
        <f>INDEX('Volume adjustments'!$J$615:$Y$655,Z$17 + 1 + $H45*$H$50, Z$15)</f>
        <v>219.785</v>
      </c>
      <c r="AA45" s="315">
        <f>INDEX('Volume adjustments'!$J$615:$Y$655,AA$17 + 1 + $H45*$H$50, AA$15)</f>
        <v>16219.2</v>
      </c>
      <c r="AB45" s="315">
        <f>INDEX('Volume adjustments'!$J$615:$Y$655,AB$17 + 1 + $H45*$H$50, AB$15)</f>
        <v>0</v>
      </c>
      <c r="AC45" s="315">
        <f>INDEX('Volume adjustments'!$J$615:$Y$655,AC$17 + 1 + $H45*$H$50, AC$15)</f>
        <v>4238.0400000000009</v>
      </c>
      <c r="AD45" s="315">
        <f>INDEX('Volume adjustments'!$J$615:$Y$655,AD$17 + 1 + $H45*$H$50, AD$15)</f>
        <v>5012.5640000000003</v>
      </c>
      <c r="AE45" s="315">
        <f>INDEX('Volume adjustments'!$J$615:$Y$655,AE$17 + 1 + $H45*$H$50, AE$15)</f>
        <v>6786.5599999999995</v>
      </c>
      <c r="AF45" s="315">
        <f>INDEX('Volume adjustments'!$J$615:$Y$655,AF$17 + 1 + $H45*$H$50, AF$15)</f>
        <v>7252.5439999999999</v>
      </c>
      <c r="AG45" s="315">
        <f>INDEX('Volume adjustments'!$J$615:$Y$655,AG$17 + 1 + $H45*$H$50, AG$15)</f>
        <v>221.81066970532819</v>
      </c>
      <c r="AH45" s="315">
        <f>INDEX('Volume adjustments'!$J$615:$Y$655,AH$17 + 1 + $H45*$H$50, AH$15)</f>
        <v>22119.511332572329</v>
      </c>
      <c r="AI45" s="315">
        <f>INDEX('Volume adjustments'!$J$615:$Y$655,AI$17 + 1 + $H45*$H$50, AI$15)</f>
        <v>0</v>
      </c>
      <c r="AJ45" s="315">
        <f>INDEX('Volume adjustments'!$J$615:$Y$655,AJ$17 + 1 + $H45*$H$50, AJ$15)</f>
        <v>0.47600000000000015</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0</v>
      </c>
      <c r="AO45" s="315">
        <f>INDEX('Volume adjustments'!$J$615:$Y$655,AO$17 + 1 + $H45*$H$50, AO$15)</f>
        <v>0</v>
      </c>
    </row>
    <row r="46" spans="5:43" x14ac:dyDescent="0.25">
      <c r="E46" s="89"/>
      <c r="F46" s="113" t="s">
        <v>249</v>
      </c>
      <c r="G46" s="113" t="s">
        <v>207</v>
      </c>
      <c r="H46" s="7">
        <v>2</v>
      </c>
      <c r="J46" s="315">
        <f>INDEX('Volume adjustments'!$J$615:$Y$655,J$17 + 1 + $H46*$H$50, J$15)</f>
        <v>102434.88722672098</v>
      </c>
      <c r="K46" s="315">
        <f>INDEX('Volume adjustments'!$J$615:$Y$655,K$17 + 1 + $H46*$H$50, K$15)</f>
        <v>260.36899999999997</v>
      </c>
      <c r="L46" s="315">
        <f>INDEX('Volume adjustments'!$J$615:$Y$655,L$17 + 1 + $H46*$H$50, L$15)</f>
        <v>0</v>
      </c>
      <c r="M46" s="315">
        <f>INDEX('Volume adjustments'!$J$615:$Y$655,M$17 + 1 + $H46*$H$50, M$15)</f>
        <v>1123.3285139185232</v>
      </c>
      <c r="N46" s="315">
        <f>INDEX('Volume adjustments'!$J$615:$Y$655,N$17 + 1 + $H46*$H$50, N$15)</f>
        <v>1536.2863492087945</v>
      </c>
      <c r="O46" s="315">
        <f>INDEX('Volume adjustments'!$J$615:$Y$655,O$17 + 1 + $H46*$H$50, O$15)</f>
        <v>2278.9945095773928</v>
      </c>
      <c r="P46" s="315">
        <f>INDEX('Volume adjustments'!$J$615:$Y$655,P$17 + 1 + $H46*$H$50, P$15)</f>
        <v>4536.1146177521596</v>
      </c>
      <c r="Q46" s="315">
        <f>INDEX('Volume adjustments'!$J$615:$Y$655,Q$17 + 1 + $H46*$H$50, Q$15)</f>
        <v>0</v>
      </c>
      <c r="R46" s="315">
        <f>INDEX('Volume adjustments'!$J$615:$Y$655,R$17 + 1 + $H46*$H$50, R$15)</f>
        <v>0</v>
      </c>
      <c r="S46" s="315">
        <f>INDEX('Volume adjustments'!$J$615:$Y$655,S$17 + 1 + $H46*$H$50, S$15)</f>
        <v>4547.0809999999992</v>
      </c>
      <c r="T46" s="315">
        <f>INDEX('Volume adjustments'!$J$615:$Y$655,T$17 + 1 + $H46*$H$50, T$15)</f>
        <v>9443.5720000000001</v>
      </c>
      <c r="U46" s="315">
        <f>INDEX('Volume adjustments'!$J$615:$Y$655,U$17 + 1 + $H46*$H$50, U$15)</f>
        <v>13669.217000000001</v>
      </c>
      <c r="V46" s="315">
        <f>INDEX('Volume adjustments'!$J$615:$Y$655,V$17 + 1 + $H46*$H$50, V$15)</f>
        <v>36000.575000000004</v>
      </c>
      <c r="W46" s="315">
        <f>INDEX('Volume adjustments'!$J$615:$Y$655,W$17 + 1 + $H46*$H$50, W$15)</f>
        <v>0</v>
      </c>
      <c r="X46" s="315">
        <f>INDEX('Volume adjustments'!$J$615:$Y$655,X$17 + 1 + $H46*$H$50, X$15)</f>
        <v>0</v>
      </c>
      <c r="Y46" s="315">
        <f>INDEX('Volume adjustments'!$J$615:$Y$655,Y$17 + 1 + $H46*$H$50, Y$15)</f>
        <v>504.34399999999999</v>
      </c>
      <c r="Z46" s="315">
        <f>INDEX('Volume adjustments'!$J$615:$Y$655,Z$17 + 1 + $H46*$H$50, Z$15)</f>
        <v>257.81100000000004</v>
      </c>
      <c r="AA46" s="315">
        <f>INDEX('Volume adjustments'!$J$615:$Y$655,AA$17 + 1 + $H46*$H$50, AA$15)</f>
        <v>15138.128000000002</v>
      </c>
      <c r="AB46" s="315">
        <f>INDEX('Volume adjustments'!$J$615:$Y$655,AB$17 + 1 + $H46*$H$50, AB$15)</f>
        <v>0</v>
      </c>
      <c r="AC46" s="315">
        <f>INDEX('Volume adjustments'!$J$615:$Y$655,AC$17 + 1 + $H46*$H$50, AC$15)</f>
        <v>4606.8730000000014</v>
      </c>
      <c r="AD46" s="315">
        <f>INDEX('Volume adjustments'!$J$615:$Y$655,AD$17 + 1 + $H46*$H$50, AD$15)</f>
        <v>5478.5059999999994</v>
      </c>
      <c r="AE46" s="315">
        <f>INDEX('Volume adjustments'!$J$615:$Y$655,AE$17 + 1 + $H46*$H$50, AE$15)</f>
        <v>8352.4259999999995</v>
      </c>
      <c r="AF46" s="315">
        <f>INDEX('Volume adjustments'!$J$615:$Y$655,AF$17 + 1 + $H46*$H$50, AF$15)</f>
        <v>10090.327000000001</v>
      </c>
      <c r="AG46" s="315">
        <f>INDEX('Volume adjustments'!$J$615:$Y$655,AG$17 + 1 + $H46*$H$50, AG$15)</f>
        <v>261.40423687505682</v>
      </c>
      <c r="AH46" s="315">
        <f>INDEX('Volume adjustments'!$J$615:$Y$655,AH$17 + 1 + $H46*$H$50, AH$15)</f>
        <v>9947.1981126761348</v>
      </c>
      <c r="AI46" s="315">
        <f>INDEX('Volume adjustments'!$J$615:$Y$655,AI$17 + 1 + $H46*$H$50, AI$15)</f>
        <v>0</v>
      </c>
      <c r="AJ46" s="315">
        <f>INDEX('Volume adjustments'!$J$615:$Y$655,AJ$17 + 1 + $H46*$H$50, AJ$15)</f>
        <v>1.202</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0</v>
      </c>
      <c r="AO46" s="315">
        <f>INDEX('Volume adjustments'!$J$615:$Y$655,AO$17 + 1 + $H46*$H$50, AO$15)</f>
        <v>0</v>
      </c>
    </row>
    <row r="47" spans="5:43" x14ac:dyDescent="0.25">
      <c r="E47" s="89"/>
      <c r="F47" s="113" t="s">
        <v>212</v>
      </c>
      <c r="G47" s="113" t="s">
        <v>212</v>
      </c>
      <c r="H47" s="7">
        <v>3</v>
      </c>
      <c r="J47" s="315">
        <f>INDEX('Volume adjustments'!$J$615:$Y$655,J$17 + 1 + $H47*$H$50, J$15)</f>
        <v>94595</v>
      </c>
      <c r="K47" s="315">
        <f>INDEX('Volume adjustments'!$J$615:$Y$655,K$17 + 1 + $H47*$H$50, K$15)</f>
        <v>70</v>
      </c>
      <c r="L47" s="315">
        <f>INDEX('Volume adjustments'!$J$615:$Y$655,L$17 + 1 + $H47*$H$50, L$15)</f>
        <v>0</v>
      </c>
      <c r="M47" s="315">
        <f>INDEX('Volume adjustments'!$J$615:$Y$655,M$17 + 1 + $H47*$H$50, M$15)</f>
        <v>628</v>
      </c>
      <c r="N47" s="315">
        <f>INDEX('Volume adjustments'!$J$615:$Y$655,N$17 + 1 + $H47*$H$50, N$15)</f>
        <v>534</v>
      </c>
      <c r="O47" s="315">
        <f>INDEX('Volume adjustments'!$J$615:$Y$655,O$17 + 1 + $H47*$H$50, O$15)</f>
        <v>369</v>
      </c>
      <c r="P47" s="315">
        <f>INDEX('Volume adjustments'!$J$615:$Y$655,P$17 + 1 + $H47*$H$50, P$15)</f>
        <v>292</v>
      </c>
      <c r="Q47" s="315">
        <f>INDEX('Volume adjustments'!$J$615:$Y$655,Q$17 + 1 + $H47*$H$50, Q$15)</f>
        <v>0</v>
      </c>
      <c r="R47" s="315">
        <f>INDEX('Volume adjustments'!$J$615:$Y$655,R$17 + 1 + $H47*$H$50, R$15)</f>
        <v>0</v>
      </c>
      <c r="S47" s="315">
        <f>INDEX('Volume adjustments'!$J$615:$Y$655,S$17 + 1 + $H47*$H$50, S$15)</f>
        <v>91</v>
      </c>
      <c r="T47" s="315">
        <f>INDEX('Volume adjustments'!$J$615:$Y$655,T$17 + 1 + $H47*$H$50, T$15)</f>
        <v>157</v>
      </c>
      <c r="U47" s="315">
        <f>INDEX('Volume adjustments'!$J$615:$Y$655,U$17 + 1 + $H47*$H$50, U$15)</f>
        <v>106</v>
      </c>
      <c r="V47" s="315">
        <f>INDEX('Volume adjustments'!$J$615:$Y$655,V$17 + 1 + $H47*$H$50, V$15)</f>
        <v>172</v>
      </c>
      <c r="W47" s="315">
        <f>INDEX('Volume adjustments'!$J$615:$Y$655,W$17 + 1 + $H47*$H$50, W$15)</f>
        <v>0</v>
      </c>
      <c r="X47" s="315">
        <f>INDEX('Volume adjustments'!$J$615:$Y$655,X$17 + 1 + $H47*$H$50, X$15)</f>
        <v>0</v>
      </c>
      <c r="Y47" s="315">
        <f>INDEX('Volume adjustments'!$J$615:$Y$655,Y$17 + 1 + $H47*$H$50, Y$15)</f>
        <v>3</v>
      </c>
      <c r="Z47" s="315">
        <f>INDEX('Volume adjustments'!$J$615:$Y$655,Z$17 + 1 + $H47*$H$50, Z$15)</f>
        <v>1</v>
      </c>
      <c r="AA47" s="315">
        <f>INDEX('Volume adjustments'!$J$615:$Y$655,AA$17 + 1 + $H47*$H$50, AA$15)</f>
        <v>41</v>
      </c>
      <c r="AB47" s="315">
        <f>INDEX('Volume adjustments'!$J$615:$Y$655,AB$17 + 1 + $H47*$H$50, AB$15)</f>
        <v>0</v>
      </c>
      <c r="AC47" s="315">
        <f>INDEX('Volume adjustments'!$J$615:$Y$655,AC$17 + 1 + $H47*$H$50, AC$15)</f>
        <v>9</v>
      </c>
      <c r="AD47" s="315">
        <f>INDEX('Volume adjustments'!$J$615:$Y$655,AD$17 + 1 + $H47*$H$50, AD$15)</f>
        <v>6</v>
      </c>
      <c r="AE47" s="315">
        <f>INDEX('Volume adjustments'!$J$615:$Y$655,AE$17 + 1 + $H47*$H$50, AE$15)</f>
        <v>7</v>
      </c>
      <c r="AF47" s="315">
        <f>INDEX('Volume adjustments'!$J$615:$Y$655,AF$17 + 1 + $H47*$H$50, AF$15)</f>
        <v>8</v>
      </c>
      <c r="AG47" s="315">
        <f>INDEX('Volume adjustments'!$J$615:$Y$655,AG$17 + 1 + $H47*$H$50, AG$15)</f>
        <v>54</v>
      </c>
      <c r="AH47" s="315">
        <f>INDEX('Volume adjustments'!$J$615:$Y$655,AH$17 + 1 + $H47*$H$50, AH$15)</f>
        <v>1872</v>
      </c>
      <c r="AI47" s="315">
        <f>INDEX('Volume adjustments'!$J$615:$Y$655,AI$17 + 1 + $H47*$H$50, AI$15)</f>
        <v>0</v>
      </c>
      <c r="AJ47" s="315">
        <f>INDEX('Volume adjustments'!$J$615:$Y$655,AJ$17 + 1 + $H47*$H$50, AJ$15)</f>
        <v>1</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0</v>
      </c>
      <c r="AO47" s="315">
        <f>INDEX('Volume adjustments'!$J$615:$Y$655,AO$17 + 1 + $H47*$H$50, AO$15)</f>
        <v>0</v>
      </c>
    </row>
    <row r="48" spans="5:43" x14ac:dyDescent="0.25">
      <c r="E48" s="89"/>
      <c r="F48" s="113" t="s">
        <v>250</v>
      </c>
      <c r="G48" s="113" t="s">
        <v>251</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0</v>
      </c>
      <c r="S48" s="315">
        <f>INDEX('Volume adjustments'!$J$615:$Y$655,S$17 + 1 + $H48*$H$50, S$15)</f>
        <v>5141</v>
      </c>
      <c r="T48" s="315">
        <f>INDEX('Volume adjustments'!$J$615:$Y$655,T$17 + 1 + $H48*$H$50, T$15)</f>
        <v>18185</v>
      </c>
      <c r="U48" s="315">
        <f>INDEX('Volume adjustments'!$J$615:$Y$655,U$17 + 1 + $H48*$H$50, U$15)</f>
        <v>19461</v>
      </c>
      <c r="V48" s="315">
        <f>INDEX('Volume adjustments'!$J$615:$Y$655,V$17 + 1 + $H48*$H$50, V$15)</f>
        <v>78990</v>
      </c>
      <c r="W48" s="315">
        <f>INDEX('Volume adjustments'!$J$615:$Y$655,W$17 + 1 + $H48*$H$50, W$15)</f>
        <v>0</v>
      </c>
      <c r="X48" s="315">
        <f>INDEX('Volume adjustments'!$J$615:$Y$655,X$17 + 1 + $H48*$H$50, X$15)</f>
        <v>0</v>
      </c>
      <c r="Y48" s="315">
        <f>INDEX('Volume adjustments'!$J$615:$Y$655,Y$17 + 1 + $H48*$H$50, Y$15)</f>
        <v>327</v>
      </c>
      <c r="Z48" s="315">
        <f>INDEX('Volume adjustments'!$J$615:$Y$655,Z$17 + 1 + $H48*$H$50, Z$15)</f>
        <v>225</v>
      </c>
      <c r="AA48" s="315">
        <f>INDEX('Volume adjustments'!$J$615:$Y$655,AA$17 + 1 + $H48*$H$50, AA$15)</f>
        <v>27059</v>
      </c>
      <c r="AB48" s="315">
        <f>INDEX('Volume adjustments'!$J$615:$Y$655,AB$17 + 1 + $H48*$H$50, AB$15)</f>
        <v>0</v>
      </c>
      <c r="AC48" s="315">
        <f>INDEX('Volume adjustments'!$J$615:$Y$655,AC$17 + 1 + $H48*$H$50, AC$15)</f>
        <v>2743</v>
      </c>
      <c r="AD48" s="315">
        <f>INDEX('Volume adjustments'!$J$615:$Y$655,AD$17 + 1 + $H48*$H$50, AD$15)</f>
        <v>3695</v>
      </c>
      <c r="AE48" s="315">
        <f>INDEX('Volume adjustments'!$J$615:$Y$655,AE$17 + 1 + $H48*$H$50, AE$15)</f>
        <v>9600</v>
      </c>
      <c r="AF48" s="315">
        <f>INDEX('Volume adjustments'!$J$615:$Y$655,AF$17 + 1 + $H48*$H$50, AF$15)</f>
        <v>23200</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252</v>
      </c>
      <c r="G49" s="113" t="s">
        <v>251</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1552</v>
      </c>
      <c r="T49" s="315">
        <f>INDEX('Volume adjustments'!$J$615:$Y$655,T$17 + 1 + $H49*$H$50, T$15)</f>
        <v>8</v>
      </c>
      <c r="U49" s="315">
        <f>INDEX('Volume adjustments'!$J$615:$Y$655,U$17 + 1 + $H49*$H$50, U$15)</f>
        <v>8.3333333333333339</v>
      </c>
      <c r="V49" s="315">
        <f>INDEX('Volume adjustments'!$J$615:$Y$655,V$17 + 1 + $H49*$H$50, V$15)</f>
        <v>2.6666666666666665</v>
      </c>
      <c r="W49" s="315">
        <f>INDEX('Volume adjustments'!$J$615:$Y$655,W$17 + 1 + $H49*$H$50, W$15)</f>
        <v>0</v>
      </c>
      <c r="X49" s="315">
        <f>INDEX('Volume adjustments'!$J$615:$Y$655,X$17 + 1 + $H49*$H$50, X$15)</f>
        <v>0</v>
      </c>
      <c r="Y49" s="315">
        <f>INDEX('Volume adjustments'!$J$615:$Y$655,Y$17 + 1 + $H49*$H$50, Y$15)</f>
        <v>0</v>
      </c>
      <c r="Z49" s="315">
        <f>INDEX('Volume adjustments'!$J$615:$Y$655,Z$17 + 1 + $H49*$H$50, Z$15)</f>
        <v>0</v>
      </c>
      <c r="AA49" s="315">
        <f>INDEX('Volume adjustments'!$J$615:$Y$655,AA$17 + 1 + $H49*$H$50, AA$15)</f>
        <v>0</v>
      </c>
      <c r="AB49" s="315">
        <f>INDEX('Volume adjustments'!$J$615:$Y$655,AB$17 + 1 + $H49*$H$50, AB$15)</f>
        <v>0</v>
      </c>
      <c r="AC49" s="315">
        <f>INDEX('Volume adjustments'!$J$615:$Y$655,AC$17 + 1 + $H49*$H$50, AC$15)</f>
        <v>0</v>
      </c>
      <c r="AD49" s="315">
        <f>INDEX('Volume adjustments'!$J$615:$Y$655,AD$17 + 1 + $H49*$H$50, AD$15)</f>
        <v>241</v>
      </c>
      <c r="AE49" s="315">
        <f>INDEX('Volume adjustments'!$J$615:$Y$655,AE$17 + 1 + $H49*$H$50, AE$15)</f>
        <v>0</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253</v>
      </c>
      <c r="G50" s="115" t="s">
        <v>254</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0</v>
      </c>
      <c r="S50" s="257">
        <f>INDEX('Volume adjustments'!$J$615:$Y$655,S$17 + 1 + $H50*$H$50, S$15)</f>
        <v>863.53200000000004</v>
      </c>
      <c r="T50" s="257">
        <f>INDEX('Volume adjustments'!$J$615:$Y$655,T$17 + 1 + $H50*$H$50, T$15)</f>
        <v>1035.95</v>
      </c>
      <c r="U50" s="257">
        <f>INDEX('Volume adjustments'!$J$615:$Y$655,U$17 + 1 + $H50*$H$50, U$15)</f>
        <v>986.17600000000004</v>
      </c>
      <c r="V50" s="257">
        <f>INDEX('Volume adjustments'!$J$615:$Y$655,V$17 + 1 + $H50*$H$50, V$15)</f>
        <v>5234.7879999999996</v>
      </c>
      <c r="W50" s="257">
        <f>INDEX('Volume adjustments'!$J$615:$Y$655,W$17 + 1 + $H50*$H$50, W$15)</f>
        <v>0</v>
      </c>
      <c r="X50" s="257">
        <f>INDEX('Volume adjustments'!$J$615:$Y$655,X$17 + 1 + $H50*$H$50, X$15)</f>
        <v>0</v>
      </c>
      <c r="Y50" s="257">
        <f>INDEX('Volume adjustments'!$J$615:$Y$655,Y$17 + 1 + $H50*$H$50, Y$15)</f>
        <v>20.306000000000001</v>
      </c>
      <c r="Z50" s="257">
        <f>INDEX('Volume adjustments'!$J$615:$Y$655,Z$17 + 1 + $H50*$H$50, Z$15)</f>
        <v>0.104</v>
      </c>
      <c r="AA50" s="257">
        <f>INDEX('Volume adjustments'!$J$615:$Y$655,AA$17 + 1 + $H50*$H$50, AA$15)</f>
        <v>1570.232</v>
      </c>
      <c r="AB50" s="257">
        <f>INDEX('Volume adjustments'!$J$615:$Y$655,AB$17 + 1 + $H50*$H$50, AB$15)</f>
        <v>0</v>
      </c>
      <c r="AC50" s="257">
        <f>INDEX('Volume adjustments'!$J$615:$Y$655,AC$17 + 1 + $H50*$H$50, AC$15)</f>
        <v>836.62400000000002</v>
      </c>
      <c r="AD50" s="257">
        <f>INDEX('Volume adjustments'!$J$615:$Y$655,AD$17 + 1 + $H50*$H$50, AD$15)</f>
        <v>0.19400000000000001</v>
      </c>
      <c r="AE50" s="257">
        <f>INDEX('Volume adjustments'!$J$615:$Y$655,AE$17 + 1 + $H50*$H$50, AE$15)</f>
        <v>648.19200000000001</v>
      </c>
      <c r="AF50" s="257">
        <f>INDEX('Volume adjustments'!$J$615:$Y$655,AF$17 + 1 + $H50*$H$50, AF$15)</f>
        <v>262.87200000000001</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0.41199999999999992</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0</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757</v>
      </c>
      <c r="G54" s="46"/>
      <c r="I54" t="s">
        <v>154</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155</v>
      </c>
    </row>
    <row r="55" spans="3:43" x14ac:dyDescent="0.25">
      <c r="F55" s="90" t="s">
        <v>156</v>
      </c>
      <c r="G55" s="138" t="s">
        <v>269</v>
      </c>
      <c r="H55" s="276"/>
      <c r="I55" s="264"/>
      <c r="J55" s="276">
        <f>Rounding!J150</f>
        <v>11.759</v>
      </c>
      <c r="K55" s="276">
        <f>Rounding!K150</f>
        <v>11.759</v>
      </c>
      <c r="L55" s="276">
        <f>Rounding!L150</f>
        <v>13.506</v>
      </c>
      <c r="M55" s="276">
        <f>Rounding!M150</f>
        <v>13.506</v>
      </c>
      <c r="N55" s="276">
        <f>Rounding!N150</f>
        <v>13.506</v>
      </c>
      <c r="O55" s="276">
        <f>Rounding!O150</f>
        <v>13.506</v>
      </c>
      <c r="P55" s="276">
        <f>Rounding!P150</f>
        <v>13.506</v>
      </c>
      <c r="Q55" s="276">
        <f>Rounding!Q150</f>
        <v>13.506</v>
      </c>
      <c r="R55" s="276">
        <f>Rounding!R150</f>
        <v>10.050000000000001</v>
      </c>
      <c r="S55" s="276">
        <f>Rounding!S150</f>
        <v>10.050000000000001</v>
      </c>
      <c r="T55" s="276">
        <f>Rounding!T150</f>
        <v>10.050000000000001</v>
      </c>
      <c r="U55" s="276">
        <f>Rounding!U150</f>
        <v>10.050000000000001</v>
      </c>
      <c r="V55" s="276">
        <f>Rounding!V150</f>
        <v>10.050000000000001</v>
      </c>
      <c r="W55" s="276">
        <f>Rounding!W150</f>
        <v>5.5049999999999999</v>
      </c>
      <c r="X55" s="276">
        <f>Rounding!X150</f>
        <v>5.5049999999999999</v>
      </c>
      <c r="Y55" s="276">
        <f>Rounding!Y150</f>
        <v>5.5049999999999999</v>
      </c>
      <c r="Z55" s="276">
        <f>Rounding!Z150</f>
        <v>5.5049999999999999</v>
      </c>
      <c r="AA55" s="276">
        <f>Rounding!AA150</f>
        <v>5.5049999999999999</v>
      </c>
      <c r="AB55" s="276">
        <f>Rounding!AB150</f>
        <v>3.9350000000000001</v>
      </c>
      <c r="AC55" s="276">
        <f>Rounding!AC150</f>
        <v>3.9350000000000001</v>
      </c>
      <c r="AD55" s="276">
        <f>Rounding!AD150</f>
        <v>3.9350000000000001</v>
      </c>
      <c r="AE55" s="276">
        <f>Rounding!AE150</f>
        <v>3.9350000000000001</v>
      </c>
      <c r="AF55" s="276">
        <f>Rounding!AF150</f>
        <v>3.9350000000000001</v>
      </c>
      <c r="AG55" s="276">
        <f>Rounding!AG150</f>
        <v>32.94</v>
      </c>
      <c r="AH55" s="276">
        <f>Rounding!AH150</f>
        <v>-8.6829999999999998</v>
      </c>
      <c r="AI55" s="276">
        <f>Rounding!AI150</f>
        <v>-7.4909999999999997</v>
      </c>
      <c r="AJ55" s="276">
        <f>Rounding!AJ150</f>
        <v>-8.6829999999999998</v>
      </c>
      <c r="AK55" s="276">
        <f>Rounding!AK150</f>
        <v>-8.6829999999999998</v>
      </c>
      <c r="AL55" s="276">
        <f>Rounding!AL150</f>
        <v>-7.4909999999999997</v>
      </c>
      <c r="AM55" s="276">
        <f>Rounding!AM150</f>
        <v>-7.4909999999999997</v>
      </c>
      <c r="AN55" s="276">
        <f>Rounding!AN150</f>
        <v>-4.6870000000000003</v>
      </c>
      <c r="AO55" s="276">
        <f>Rounding!AO150</f>
        <v>-4.6870000000000003</v>
      </c>
      <c r="AP55" s="266"/>
      <c r="AQ55" s="266"/>
    </row>
    <row r="56" spans="3:43" x14ac:dyDescent="0.25">
      <c r="E56" s="89"/>
      <c r="F56" t="s">
        <v>157</v>
      </c>
      <c r="G56" s="46" t="s">
        <v>269</v>
      </c>
      <c r="H56" s="277"/>
      <c r="I56" s="266"/>
      <c r="J56" s="277">
        <f>Rounding!J151</f>
        <v>1.282</v>
      </c>
      <c r="K56" s="277">
        <f>Rounding!K151</f>
        <v>1.282</v>
      </c>
      <c r="L56" s="277">
        <f>Rounding!L151</f>
        <v>1.472</v>
      </c>
      <c r="M56" s="277">
        <f>Rounding!M151</f>
        <v>1.472</v>
      </c>
      <c r="N56" s="277">
        <f>Rounding!N151</f>
        <v>1.472</v>
      </c>
      <c r="O56" s="277">
        <f>Rounding!O151</f>
        <v>1.472</v>
      </c>
      <c r="P56" s="277">
        <f>Rounding!P151</f>
        <v>1.472</v>
      </c>
      <c r="Q56" s="277">
        <f>Rounding!Q151</f>
        <v>1.472</v>
      </c>
      <c r="R56" s="277">
        <f>Rounding!R151</f>
        <v>1.0289999999999999</v>
      </c>
      <c r="S56" s="277">
        <f>Rounding!S151</f>
        <v>1.0289999999999999</v>
      </c>
      <c r="T56" s="277">
        <f>Rounding!T151</f>
        <v>1.0289999999999999</v>
      </c>
      <c r="U56" s="277">
        <f>Rounding!U151</f>
        <v>1.0289999999999999</v>
      </c>
      <c r="V56" s="277">
        <f>Rounding!V151</f>
        <v>1.0289999999999999</v>
      </c>
      <c r="W56" s="277">
        <f>Rounding!W151</f>
        <v>0.45400000000000001</v>
      </c>
      <c r="X56" s="277">
        <f>Rounding!X151</f>
        <v>0.45400000000000001</v>
      </c>
      <c r="Y56" s="277">
        <f>Rounding!Y151</f>
        <v>0.45400000000000001</v>
      </c>
      <c r="Z56" s="277">
        <f>Rounding!Z151</f>
        <v>0.45400000000000001</v>
      </c>
      <c r="AA56" s="277">
        <f>Rounding!AA151</f>
        <v>0.45400000000000001</v>
      </c>
      <c r="AB56" s="277">
        <f>Rounding!AB151</f>
        <v>0.28599999999999998</v>
      </c>
      <c r="AC56" s="277">
        <f>Rounding!AC151</f>
        <v>0.28599999999999998</v>
      </c>
      <c r="AD56" s="277">
        <f>Rounding!AD151</f>
        <v>0.28599999999999998</v>
      </c>
      <c r="AE56" s="277">
        <f>Rounding!AE151</f>
        <v>0.28599999999999998</v>
      </c>
      <c r="AF56" s="277">
        <f>Rounding!AF151</f>
        <v>0.28599999999999998</v>
      </c>
      <c r="AG56" s="277">
        <f>Rounding!AG151</f>
        <v>2.6429999999999998</v>
      </c>
      <c r="AH56" s="277">
        <f>Rounding!AH151</f>
        <v>-0.94599999999999995</v>
      </c>
      <c r="AI56" s="277">
        <f>Rounding!AI151</f>
        <v>-0.79100000000000004</v>
      </c>
      <c r="AJ56" s="277">
        <f>Rounding!AJ151</f>
        <v>-0.94599999999999995</v>
      </c>
      <c r="AK56" s="277">
        <f>Rounding!AK151</f>
        <v>-0.94599999999999995</v>
      </c>
      <c r="AL56" s="277">
        <f>Rounding!AL151</f>
        <v>-0.79100000000000004</v>
      </c>
      <c r="AM56" s="277">
        <f>Rounding!AM151</f>
        <v>-0.79100000000000004</v>
      </c>
      <c r="AN56" s="277">
        <f>Rounding!AN151</f>
        <v>-0.38700000000000001</v>
      </c>
      <c r="AO56" s="277">
        <f>Rounding!AO151</f>
        <v>-0.38700000000000001</v>
      </c>
      <c r="AP56" s="266"/>
      <c r="AQ56" s="266"/>
    </row>
    <row r="57" spans="3:43" x14ac:dyDescent="0.25">
      <c r="E57" s="89"/>
      <c r="F57" t="s">
        <v>158</v>
      </c>
      <c r="G57" s="46" t="s">
        <v>269</v>
      </c>
      <c r="H57" s="277"/>
      <c r="I57" s="266"/>
      <c r="J57" s="277">
        <f>Rounding!J152</f>
        <v>2.5999999999999999E-2</v>
      </c>
      <c r="K57" s="277">
        <f>Rounding!K152</f>
        <v>2.5999999999999999E-2</v>
      </c>
      <c r="L57" s="277">
        <f>Rounding!L152</f>
        <v>0.03</v>
      </c>
      <c r="M57" s="277">
        <f>Rounding!M152</f>
        <v>0.03</v>
      </c>
      <c r="N57" s="277">
        <f>Rounding!N152</f>
        <v>0.03</v>
      </c>
      <c r="O57" s="277">
        <f>Rounding!O152</f>
        <v>0.03</v>
      </c>
      <c r="P57" s="277">
        <f>Rounding!P152</f>
        <v>0.03</v>
      </c>
      <c r="Q57" s="277">
        <f>Rounding!Q152</f>
        <v>0.03</v>
      </c>
      <c r="R57" s="277">
        <f>Rounding!R152</f>
        <v>2.1000000000000001E-2</v>
      </c>
      <c r="S57" s="277">
        <f>Rounding!S152</f>
        <v>2.1000000000000001E-2</v>
      </c>
      <c r="T57" s="277">
        <f>Rounding!T152</f>
        <v>2.1000000000000001E-2</v>
      </c>
      <c r="U57" s="277">
        <f>Rounding!U152</f>
        <v>2.1000000000000001E-2</v>
      </c>
      <c r="V57" s="277">
        <f>Rounding!V152</f>
        <v>2.1000000000000001E-2</v>
      </c>
      <c r="W57" s="277">
        <f>Rounding!W152</f>
        <v>0.01</v>
      </c>
      <c r="X57" s="277">
        <f>Rounding!X152</f>
        <v>0.01</v>
      </c>
      <c r="Y57" s="277">
        <f>Rounding!Y152</f>
        <v>0.01</v>
      </c>
      <c r="Z57" s="277">
        <f>Rounding!Z152</f>
        <v>0.01</v>
      </c>
      <c r="AA57" s="277">
        <f>Rounding!AA152</f>
        <v>0.01</v>
      </c>
      <c r="AB57" s="277">
        <f>Rounding!AB152</f>
        <v>6.0000000000000001E-3</v>
      </c>
      <c r="AC57" s="277">
        <f>Rounding!AC152</f>
        <v>6.0000000000000001E-3</v>
      </c>
      <c r="AD57" s="277">
        <f>Rounding!AD152</f>
        <v>6.0000000000000001E-3</v>
      </c>
      <c r="AE57" s="277">
        <f>Rounding!AE152</f>
        <v>6.0000000000000001E-3</v>
      </c>
      <c r="AF57" s="277">
        <f>Rounding!AF152</f>
        <v>6.0000000000000001E-3</v>
      </c>
      <c r="AG57" s="277">
        <f>Rounding!AG152</f>
        <v>1.4870000000000001</v>
      </c>
      <c r="AH57" s="277">
        <f>Rounding!AH152</f>
        <v>-1.9E-2</v>
      </c>
      <c r="AI57" s="277">
        <f>Rounding!AI152</f>
        <v>-1.6E-2</v>
      </c>
      <c r="AJ57" s="277">
        <f>Rounding!AJ152</f>
        <v>-1.9E-2</v>
      </c>
      <c r="AK57" s="277">
        <f>Rounding!AK152</f>
        <v>-1.9E-2</v>
      </c>
      <c r="AL57" s="277">
        <f>Rounding!AL152</f>
        <v>-1.6E-2</v>
      </c>
      <c r="AM57" s="277">
        <f>Rounding!AM152</f>
        <v>-1.6E-2</v>
      </c>
      <c r="AN57" s="277">
        <f>Rounding!AN152</f>
        <v>-8.0000000000000002E-3</v>
      </c>
      <c r="AO57" s="277">
        <f>Rounding!AO152</f>
        <v>-8.0000000000000002E-3</v>
      </c>
      <c r="AP57" s="266"/>
      <c r="AQ57" s="266"/>
    </row>
    <row r="58" spans="3:43" x14ac:dyDescent="0.25">
      <c r="E58" s="89"/>
      <c r="F58" t="s">
        <v>159</v>
      </c>
      <c r="G58" s="46" t="s">
        <v>270</v>
      </c>
      <c r="H58" s="63"/>
      <c r="J58" s="163">
        <f>Rounding!J153</f>
        <v>14.83</v>
      </c>
      <c r="K58" s="163">
        <f>Rounding!K153</f>
        <v>0</v>
      </c>
      <c r="L58" s="163">
        <f>Rounding!L153</f>
        <v>8.44</v>
      </c>
      <c r="M58" s="163">
        <f>Rounding!M153</f>
        <v>18.55</v>
      </c>
      <c r="N58" s="163">
        <f>Rounding!N153</f>
        <v>30.08</v>
      </c>
      <c r="O58" s="163">
        <f>Rounding!O153</f>
        <v>55.28</v>
      </c>
      <c r="P58" s="163">
        <f>Rounding!P153</f>
        <v>145.44999999999999</v>
      </c>
      <c r="Q58" s="163">
        <f>Rounding!Q153</f>
        <v>0</v>
      </c>
      <c r="R58" s="163">
        <f>Rounding!R153</f>
        <v>28.13</v>
      </c>
      <c r="S58" s="163">
        <f>Rounding!S153</f>
        <v>296.36</v>
      </c>
      <c r="T58" s="163">
        <f>Rounding!T153</f>
        <v>490.43</v>
      </c>
      <c r="U58" s="163">
        <f>Rounding!U153</f>
        <v>818.8</v>
      </c>
      <c r="V58" s="163">
        <f>Rounding!V153</f>
        <v>1699.02</v>
      </c>
      <c r="W58" s="163">
        <f>Rounding!W153</f>
        <v>9.9499999999999993</v>
      </c>
      <c r="X58" s="163">
        <f>Rounding!X153</f>
        <v>278.18</v>
      </c>
      <c r="Y58" s="163">
        <f>Rounding!Y153</f>
        <v>472.26</v>
      </c>
      <c r="Z58" s="163">
        <f>Rounding!Z153</f>
        <v>800.63</v>
      </c>
      <c r="AA58" s="163">
        <f>Rounding!AA153</f>
        <v>1680.85</v>
      </c>
      <c r="AB58" s="163">
        <f>Rounding!AB153</f>
        <v>150.16</v>
      </c>
      <c r="AC58" s="163">
        <f>Rounding!AC153</f>
        <v>1497.09</v>
      </c>
      <c r="AD58" s="163">
        <f>Rounding!AD153</f>
        <v>4420.58</v>
      </c>
      <c r="AE58" s="163">
        <f>Rounding!AE153</f>
        <v>8477.44</v>
      </c>
      <c r="AF58" s="163">
        <f>Rounding!AF153</f>
        <v>22553.98</v>
      </c>
      <c r="AG58" s="163">
        <f>Rounding!AG153</f>
        <v>0</v>
      </c>
      <c r="AH58" s="163">
        <f>Rounding!AH153</f>
        <v>0</v>
      </c>
      <c r="AI58" s="163">
        <f>Rounding!AI153</f>
        <v>0</v>
      </c>
      <c r="AJ58" s="163">
        <f>Rounding!AJ153</f>
        <v>0</v>
      </c>
      <c r="AK58" s="163">
        <f>Rounding!AK153</f>
        <v>0</v>
      </c>
      <c r="AL58" s="163">
        <f>Rounding!AL153</f>
        <v>0</v>
      </c>
      <c r="AM58" s="163">
        <f>Rounding!AM153</f>
        <v>0</v>
      </c>
      <c r="AN58" s="163">
        <f>Rounding!AN153</f>
        <v>109.62</v>
      </c>
      <c r="AO58" s="163">
        <f>Rounding!AO153</f>
        <v>109.62</v>
      </c>
    </row>
    <row r="59" spans="3:43" x14ac:dyDescent="0.25">
      <c r="E59" s="89"/>
      <c r="F59" t="s">
        <v>160</v>
      </c>
      <c r="G59" s="46" t="s">
        <v>271</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5.16</v>
      </c>
      <c r="S59" s="163">
        <f>Rounding!S154</f>
        <v>5.16</v>
      </c>
      <c r="T59" s="163">
        <f>Rounding!T154</f>
        <v>5.16</v>
      </c>
      <c r="U59" s="163">
        <f>Rounding!U154</f>
        <v>5.16</v>
      </c>
      <c r="V59" s="163">
        <f>Rounding!V154</f>
        <v>5.16</v>
      </c>
      <c r="W59" s="163">
        <f>Rounding!W154</f>
        <v>7.27</v>
      </c>
      <c r="X59" s="163">
        <f>Rounding!X154</f>
        <v>7.27</v>
      </c>
      <c r="Y59" s="163">
        <f>Rounding!Y154</f>
        <v>7.27</v>
      </c>
      <c r="Z59" s="163">
        <f>Rounding!Z154</f>
        <v>7.27</v>
      </c>
      <c r="AA59" s="163">
        <f>Rounding!AA154</f>
        <v>7.27</v>
      </c>
      <c r="AB59" s="163">
        <f>Rounding!AB154</f>
        <v>8.66</v>
      </c>
      <c r="AC59" s="163">
        <f>Rounding!AC154</f>
        <v>8.66</v>
      </c>
      <c r="AD59" s="163">
        <f>Rounding!AD154</f>
        <v>8.66</v>
      </c>
      <c r="AE59" s="163">
        <f>Rounding!AE154</f>
        <v>8.66</v>
      </c>
      <c r="AF59" s="163">
        <f>Rounding!AF154</f>
        <v>8.66</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161</v>
      </c>
      <c r="G60" s="46" t="s">
        <v>271</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5.16</v>
      </c>
      <c r="S60" s="163">
        <f>Rounding!S155</f>
        <v>5.16</v>
      </c>
      <c r="T60" s="163">
        <f>Rounding!T155</f>
        <v>5.16</v>
      </c>
      <c r="U60" s="163">
        <f>Rounding!U155</f>
        <v>5.16</v>
      </c>
      <c r="V60" s="163">
        <f>Rounding!V155</f>
        <v>5.16</v>
      </c>
      <c r="W60" s="163">
        <f>Rounding!W155</f>
        <v>7.27</v>
      </c>
      <c r="X60" s="163">
        <f>Rounding!X155</f>
        <v>7.27</v>
      </c>
      <c r="Y60" s="163">
        <f>Rounding!Y155</f>
        <v>7.27</v>
      </c>
      <c r="Z60" s="163">
        <f>Rounding!Z155</f>
        <v>7.27</v>
      </c>
      <c r="AA60" s="163">
        <f>Rounding!AA155</f>
        <v>7.27</v>
      </c>
      <c r="AB60" s="163">
        <f>Rounding!AB155</f>
        <v>8.66</v>
      </c>
      <c r="AC60" s="163">
        <f>Rounding!AC155</f>
        <v>8.66</v>
      </c>
      <c r="AD60" s="163">
        <f>Rounding!AD155</f>
        <v>8.66</v>
      </c>
      <c r="AE60" s="163">
        <f>Rounding!AE155</f>
        <v>8.66</v>
      </c>
      <c r="AF60" s="163">
        <f>Rounding!AF155</f>
        <v>8.66</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162</v>
      </c>
      <c r="G61" s="139" t="s">
        <v>272</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0.223</v>
      </c>
      <c r="S61" s="314">
        <f>Rounding!S156</f>
        <v>0.223</v>
      </c>
      <c r="T61" s="314">
        <f>Rounding!T156</f>
        <v>0.223</v>
      </c>
      <c r="U61" s="314">
        <f>Rounding!U156</f>
        <v>0.223</v>
      </c>
      <c r="V61" s="314">
        <f>Rounding!V156</f>
        <v>0.223</v>
      </c>
      <c r="W61" s="314">
        <f>Rounding!W156</f>
        <v>0.11899999999999999</v>
      </c>
      <c r="X61" s="314">
        <f>Rounding!X156</f>
        <v>0.11899999999999999</v>
      </c>
      <c r="Y61" s="314">
        <f>Rounding!Y156</f>
        <v>0.11899999999999999</v>
      </c>
      <c r="Z61" s="314">
        <f>Rounding!Z156</f>
        <v>0.11899999999999999</v>
      </c>
      <c r="AA61" s="314">
        <f>Rounding!AA156</f>
        <v>0.11899999999999999</v>
      </c>
      <c r="AB61" s="314">
        <f>Rounding!AB156</f>
        <v>8.2000000000000003E-2</v>
      </c>
      <c r="AC61" s="314">
        <f>Rounding!AC156</f>
        <v>8.2000000000000003E-2</v>
      </c>
      <c r="AD61" s="314">
        <f>Rounding!AD156</f>
        <v>8.2000000000000003E-2</v>
      </c>
      <c r="AE61" s="314">
        <f>Rounding!AE156</f>
        <v>8.2000000000000003E-2</v>
      </c>
      <c r="AF61" s="314">
        <f>Rounding!AF156</f>
        <v>8.2000000000000003E-2</v>
      </c>
      <c r="AG61" s="314">
        <f>Rounding!AG156</f>
        <v>0</v>
      </c>
      <c r="AH61" s="314">
        <f>Rounding!AH156</f>
        <v>0</v>
      </c>
      <c r="AI61" s="314">
        <f>Rounding!AI156</f>
        <v>0</v>
      </c>
      <c r="AJ61" s="314">
        <f>Rounding!AJ156</f>
        <v>0.19800000000000001</v>
      </c>
      <c r="AK61" s="314">
        <f>Rounding!AK156</f>
        <v>0</v>
      </c>
      <c r="AL61" s="314">
        <f>Rounding!AL156</f>
        <v>0.16300000000000001</v>
      </c>
      <c r="AM61" s="314">
        <f>Rounding!AM156</f>
        <v>0</v>
      </c>
      <c r="AN61" s="314">
        <f>Rounding!AN156</f>
        <v>0.14699999999999999</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758</v>
      </c>
      <c r="G63" s="46"/>
      <c r="I63" t="s">
        <v>154</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155</v>
      </c>
    </row>
    <row r="64" spans="3:43" x14ac:dyDescent="0.25">
      <c r="F64" s="90" t="s">
        <v>156</v>
      </c>
      <c r="G64" s="138" t="s">
        <v>269</v>
      </c>
      <c r="H64" s="276"/>
      <c r="I64" s="264"/>
      <c r="J64" s="276">
        <f>Rounding!J159</f>
        <v>7.0510000000000002</v>
      </c>
      <c r="K64" s="276">
        <f>Rounding!K159</f>
        <v>7.0510000000000002</v>
      </c>
      <c r="L64" s="276">
        <f>Rounding!L159</f>
        <v>8.0990000000000002</v>
      </c>
      <c r="M64" s="276">
        <f>Rounding!M159</f>
        <v>8.0990000000000002</v>
      </c>
      <c r="N64" s="276">
        <f>Rounding!N159</f>
        <v>8.0990000000000002</v>
      </c>
      <c r="O64" s="276">
        <f>Rounding!O159</f>
        <v>8.0990000000000002</v>
      </c>
      <c r="P64" s="276">
        <f>Rounding!P159</f>
        <v>8.0990000000000002</v>
      </c>
      <c r="Q64" s="276">
        <f>Rounding!Q159</f>
        <v>8.0990000000000002</v>
      </c>
      <c r="R64" s="276">
        <f>Rounding!R159</f>
        <v>6.0270000000000001</v>
      </c>
      <c r="S64" s="276">
        <f>Rounding!S159</f>
        <v>6.0270000000000001</v>
      </c>
      <c r="T64" s="276">
        <f>Rounding!T159</f>
        <v>6.0270000000000001</v>
      </c>
      <c r="U64" s="276">
        <f>Rounding!U159</f>
        <v>6.0270000000000001</v>
      </c>
      <c r="V64" s="276">
        <f>Rounding!V159</f>
        <v>6.0270000000000001</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19.753</v>
      </c>
      <c r="AH64" s="276">
        <f>Rounding!AH159</f>
        <v>-8.6829999999999998</v>
      </c>
      <c r="AI64" s="276">
        <f>Rounding!AI159</f>
        <v>0</v>
      </c>
      <c r="AJ64" s="276">
        <f>Rounding!AJ159</f>
        <v>-8.6829999999999998</v>
      </c>
      <c r="AK64" s="276">
        <f>Rounding!AK159</f>
        <v>0</v>
      </c>
      <c r="AL64" s="276">
        <f>Rounding!AL159</f>
        <v>0</v>
      </c>
      <c r="AM64" s="276">
        <f>Rounding!AM159</f>
        <v>0</v>
      </c>
      <c r="AN64" s="276">
        <f>Rounding!AN159</f>
        <v>0</v>
      </c>
      <c r="AO64" s="276">
        <f>Rounding!AO159</f>
        <v>0</v>
      </c>
      <c r="AP64" s="266"/>
      <c r="AQ64" s="266"/>
    </row>
    <row r="65" spans="3:43" x14ac:dyDescent="0.25">
      <c r="E65" s="89"/>
      <c r="F65" t="s">
        <v>157</v>
      </c>
      <c r="G65" s="46" t="s">
        <v>269</v>
      </c>
      <c r="H65" s="277"/>
      <c r="I65" s="266"/>
      <c r="J65" s="277">
        <f>Rounding!J160</f>
        <v>0.76900000000000002</v>
      </c>
      <c r="K65" s="277">
        <f>Rounding!K160</f>
        <v>0.76900000000000002</v>
      </c>
      <c r="L65" s="277">
        <f>Rounding!L160</f>
        <v>0.88300000000000001</v>
      </c>
      <c r="M65" s="277">
        <f>Rounding!M160</f>
        <v>0.88300000000000001</v>
      </c>
      <c r="N65" s="277">
        <f>Rounding!N160</f>
        <v>0.88300000000000001</v>
      </c>
      <c r="O65" s="277">
        <f>Rounding!O160</f>
        <v>0.88300000000000001</v>
      </c>
      <c r="P65" s="277">
        <f>Rounding!P160</f>
        <v>0.88300000000000001</v>
      </c>
      <c r="Q65" s="277">
        <f>Rounding!Q160</f>
        <v>0.88300000000000001</v>
      </c>
      <c r="R65" s="277">
        <f>Rounding!R160</f>
        <v>0.61699999999999999</v>
      </c>
      <c r="S65" s="277">
        <f>Rounding!S160</f>
        <v>0.61699999999999999</v>
      </c>
      <c r="T65" s="277">
        <f>Rounding!T160</f>
        <v>0.61699999999999999</v>
      </c>
      <c r="U65" s="277">
        <f>Rounding!U160</f>
        <v>0.61699999999999999</v>
      </c>
      <c r="V65" s="277">
        <f>Rounding!V160</f>
        <v>0.61699999999999999</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1.585</v>
      </c>
      <c r="AH65" s="277">
        <f>Rounding!AH160</f>
        <v>-0.94599999999999995</v>
      </c>
      <c r="AI65" s="277">
        <f>Rounding!AI160</f>
        <v>0</v>
      </c>
      <c r="AJ65" s="277">
        <f>Rounding!AJ160</f>
        <v>-0.94599999999999995</v>
      </c>
      <c r="AK65" s="277">
        <f>Rounding!AK160</f>
        <v>0</v>
      </c>
      <c r="AL65" s="277">
        <f>Rounding!AL160</f>
        <v>0</v>
      </c>
      <c r="AM65" s="277">
        <f>Rounding!AM160</f>
        <v>0</v>
      </c>
      <c r="AN65" s="277">
        <f>Rounding!AN160</f>
        <v>0</v>
      </c>
      <c r="AO65" s="277">
        <f>Rounding!AO160</f>
        <v>0</v>
      </c>
      <c r="AP65" s="266"/>
      <c r="AQ65" s="266"/>
    </row>
    <row r="66" spans="3:43" x14ac:dyDescent="0.25">
      <c r="E66" s="89"/>
      <c r="F66" t="s">
        <v>158</v>
      </c>
      <c r="G66" s="46" t="s">
        <v>269</v>
      </c>
      <c r="H66" s="277"/>
      <c r="I66" s="266"/>
      <c r="J66" s="277">
        <f>Rounding!J161</f>
        <v>1.6E-2</v>
      </c>
      <c r="K66" s="277">
        <f>Rounding!K161</f>
        <v>1.6E-2</v>
      </c>
      <c r="L66" s="277">
        <f>Rounding!L161</f>
        <v>1.7999999999999999E-2</v>
      </c>
      <c r="M66" s="277">
        <f>Rounding!M161</f>
        <v>1.7999999999999999E-2</v>
      </c>
      <c r="N66" s="277">
        <f>Rounding!N161</f>
        <v>1.7999999999999999E-2</v>
      </c>
      <c r="O66" s="277">
        <f>Rounding!O161</f>
        <v>1.7999999999999999E-2</v>
      </c>
      <c r="P66" s="277">
        <f>Rounding!P161</f>
        <v>1.7999999999999999E-2</v>
      </c>
      <c r="Q66" s="277">
        <f>Rounding!Q161</f>
        <v>1.7999999999999999E-2</v>
      </c>
      <c r="R66" s="277">
        <f>Rounding!R161</f>
        <v>1.2999999999999999E-2</v>
      </c>
      <c r="S66" s="277">
        <f>Rounding!S161</f>
        <v>1.2999999999999999E-2</v>
      </c>
      <c r="T66" s="277">
        <f>Rounding!T161</f>
        <v>1.2999999999999999E-2</v>
      </c>
      <c r="U66" s="277">
        <f>Rounding!U161</f>
        <v>1.2999999999999999E-2</v>
      </c>
      <c r="V66" s="277">
        <f>Rounding!V161</f>
        <v>1.2999999999999999E-2</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0.89200000000000002</v>
      </c>
      <c r="AH66" s="277">
        <f>Rounding!AH161</f>
        <v>-1.9E-2</v>
      </c>
      <c r="AI66" s="277">
        <f>Rounding!AI161</f>
        <v>0</v>
      </c>
      <c r="AJ66" s="277">
        <f>Rounding!AJ161</f>
        <v>-1.9E-2</v>
      </c>
      <c r="AK66" s="277">
        <f>Rounding!AK161</f>
        <v>0</v>
      </c>
      <c r="AL66" s="277">
        <f>Rounding!AL161</f>
        <v>0</v>
      </c>
      <c r="AM66" s="277">
        <f>Rounding!AM161</f>
        <v>0</v>
      </c>
      <c r="AN66" s="277">
        <f>Rounding!AN161</f>
        <v>0</v>
      </c>
      <c r="AO66" s="277">
        <f>Rounding!AO161</f>
        <v>0</v>
      </c>
      <c r="AP66" s="266"/>
      <c r="AQ66" s="266"/>
    </row>
    <row r="67" spans="3:43" x14ac:dyDescent="0.25">
      <c r="E67" s="89"/>
      <c r="F67" t="s">
        <v>159</v>
      </c>
      <c r="G67" s="46" t="s">
        <v>270</v>
      </c>
      <c r="H67" s="63"/>
      <c r="J67" s="163">
        <f>Rounding!J162</f>
        <v>8.94</v>
      </c>
      <c r="K67" s="163">
        <f>Rounding!K162</f>
        <v>0</v>
      </c>
      <c r="L67" s="163">
        <f>Rounding!L162</f>
        <v>5.08</v>
      </c>
      <c r="M67" s="163">
        <f>Rounding!M162</f>
        <v>11.14</v>
      </c>
      <c r="N67" s="163">
        <f>Rounding!N162</f>
        <v>18.05</v>
      </c>
      <c r="O67" s="163">
        <f>Rounding!O162</f>
        <v>33.159999999999997</v>
      </c>
      <c r="P67" s="163">
        <f>Rounding!P162</f>
        <v>87.24</v>
      </c>
      <c r="Q67" s="163">
        <f>Rounding!Q162</f>
        <v>0</v>
      </c>
      <c r="R67" s="163">
        <f>Rounding!R162</f>
        <v>16.88</v>
      </c>
      <c r="S67" s="163">
        <f>Rounding!S162</f>
        <v>177.73</v>
      </c>
      <c r="T67" s="163">
        <f>Rounding!T162</f>
        <v>294.11</v>
      </c>
      <c r="U67" s="163">
        <f>Rounding!U162</f>
        <v>491.01</v>
      </c>
      <c r="V67" s="163">
        <f>Rounding!V162</f>
        <v>1018.84</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160</v>
      </c>
      <c r="G68" s="46" t="s">
        <v>271</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3.09</v>
      </c>
      <c r="S68" s="163">
        <f>Rounding!S163</f>
        <v>3.09</v>
      </c>
      <c r="T68" s="163">
        <f>Rounding!T163</f>
        <v>3.09</v>
      </c>
      <c r="U68" s="163">
        <f>Rounding!U163</f>
        <v>3.09</v>
      </c>
      <c r="V68" s="163">
        <f>Rounding!V163</f>
        <v>3.09</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161</v>
      </c>
      <c r="G69" s="46" t="s">
        <v>271</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3.09</v>
      </c>
      <c r="S69" s="163">
        <f>Rounding!S164</f>
        <v>3.09</v>
      </c>
      <c r="T69" s="163">
        <f>Rounding!T164</f>
        <v>3.09</v>
      </c>
      <c r="U69" s="163">
        <f>Rounding!U164</f>
        <v>3.09</v>
      </c>
      <c r="V69" s="163">
        <f>Rounding!V164</f>
        <v>3.09</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162</v>
      </c>
      <c r="G70" s="139" t="s">
        <v>272</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0.13400000000000001</v>
      </c>
      <c r="S70" s="314">
        <f>Rounding!S165</f>
        <v>0.13400000000000001</v>
      </c>
      <c r="T70" s="314">
        <f>Rounding!T165</f>
        <v>0.13400000000000001</v>
      </c>
      <c r="U70" s="314">
        <f>Rounding!U165</f>
        <v>0.13400000000000001</v>
      </c>
      <c r="V70" s="314">
        <f>Rounding!V165</f>
        <v>0.13400000000000001</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0.19800000000000001</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759</v>
      </c>
      <c r="G72" s="46"/>
      <c r="I72" t="s">
        <v>154</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155</v>
      </c>
    </row>
    <row r="73" spans="3:43" x14ac:dyDescent="0.25">
      <c r="C73" s="100"/>
      <c r="F73" s="90" t="s">
        <v>156</v>
      </c>
      <c r="G73" s="138" t="s">
        <v>269</v>
      </c>
      <c r="H73" s="276"/>
      <c r="I73" s="264"/>
      <c r="J73" s="276">
        <f>Rounding!J168</f>
        <v>4.6520000000000001</v>
      </c>
      <c r="K73" s="276">
        <f>Rounding!K168</f>
        <v>4.6520000000000001</v>
      </c>
      <c r="L73" s="276">
        <f>Rounding!L168</f>
        <v>5.3440000000000003</v>
      </c>
      <c r="M73" s="276">
        <f>Rounding!M168</f>
        <v>5.3440000000000003</v>
      </c>
      <c r="N73" s="276">
        <f>Rounding!N168</f>
        <v>5.3440000000000003</v>
      </c>
      <c r="O73" s="276">
        <f>Rounding!O168</f>
        <v>5.3440000000000003</v>
      </c>
      <c r="P73" s="276">
        <f>Rounding!P168</f>
        <v>5.3440000000000003</v>
      </c>
      <c r="Q73" s="276">
        <f>Rounding!Q168</f>
        <v>5.3440000000000003</v>
      </c>
      <c r="R73" s="276">
        <f>Rounding!R168</f>
        <v>3.976</v>
      </c>
      <c r="S73" s="276">
        <f>Rounding!S168</f>
        <v>3.976</v>
      </c>
      <c r="T73" s="276">
        <f>Rounding!T168</f>
        <v>3.976</v>
      </c>
      <c r="U73" s="276">
        <f>Rounding!U168</f>
        <v>3.976</v>
      </c>
      <c r="V73" s="276">
        <f>Rounding!V168</f>
        <v>3.976</v>
      </c>
      <c r="W73" s="276">
        <f>Rounding!W168</f>
        <v>3.6389999999999998</v>
      </c>
      <c r="X73" s="276">
        <f>Rounding!X168</f>
        <v>3.6389999999999998</v>
      </c>
      <c r="Y73" s="276">
        <f>Rounding!Y168</f>
        <v>3.6389999999999998</v>
      </c>
      <c r="Z73" s="276">
        <f>Rounding!Z168</f>
        <v>3.6389999999999998</v>
      </c>
      <c r="AA73" s="276">
        <f>Rounding!AA168</f>
        <v>3.6389999999999998</v>
      </c>
      <c r="AB73" s="276">
        <f>Rounding!AB168</f>
        <v>2.988</v>
      </c>
      <c r="AC73" s="276">
        <f>Rounding!AC168</f>
        <v>2.988</v>
      </c>
      <c r="AD73" s="276">
        <f>Rounding!AD168</f>
        <v>2.988</v>
      </c>
      <c r="AE73" s="276">
        <f>Rounding!AE168</f>
        <v>2.988</v>
      </c>
      <c r="AF73" s="276">
        <f>Rounding!AF168</f>
        <v>2.988</v>
      </c>
      <c r="AG73" s="276">
        <f>Rounding!AG168</f>
        <v>13.032999999999999</v>
      </c>
      <c r="AH73" s="276">
        <f>Rounding!AH168</f>
        <v>-8.6829999999999998</v>
      </c>
      <c r="AI73" s="276">
        <f>Rounding!AI168</f>
        <v>-7.4909999999999997</v>
      </c>
      <c r="AJ73" s="276">
        <f>Rounding!AJ168</f>
        <v>-8.6829999999999998</v>
      </c>
      <c r="AK73" s="276">
        <f>Rounding!AK168</f>
        <v>0</v>
      </c>
      <c r="AL73" s="276">
        <f>Rounding!AL168</f>
        <v>-7.4909999999999997</v>
      </c>
      <c r="AM73" s="276">
        <f>Rounding!AM168</f>
        <v>0</v>
      </c>
      <c r="AN73" s="276">
        <f>Rounding!AN168</f>
        <v>-4.6870000000000003</v>
      </c>
      <c r="AO73" s="276">
        <f>Rounding!AO168</f>
        <v>0</v>
      </c>
      <c r="AP73" s="266"/>
      <c r="AQ73" s="266"/>
    </row>
    <row r="74" spans="3:43" x14ac:dyDescent="0.25">
      <c r="C74" s="100"/>
      <c r="F74" t="s">
        <v>157</v>
      </c>
      <c r="G74" s="46" t="s">
        <v>269</v>
      </c>
      <c r="H74" s="277"/>
      <c r="I74" s="266"/>
      <c r="J74" s="277">
        <f>Rounding!J169</f>
        <v>0.50700000000000001</v>
      </c>
      <c r="K74" s="277">
        <f>Rounding!K169</f>
        <v>0.50700000000000001</v>
      </c>
      <c r="L74" s="277">
        <f>Rounding!L169</f>
        <v>0.58199999999999996</v>
      </c>
      <c r="M74" s="277">
        <f>Rounding!M169</f>
        <v>0.58199999999999996</v>
      </c>
      <c r="N74" s="277">
        <f>Rounding!N169</f>
        <v>0.58199999999999996</v>
      </c>
      <c r="O74" s="277">
        <f>Rounding!O169</f>
        <v>0.58199999999999996</v>
      </c>
      <c r="P74" s="277">
        <f>Rounding!P169</f>
        <v>0.58199999999999996</v>
      </c>
      <c r="Q74" s="277">
        <f>Rounding!Q169</f>
        <v>0.58199999999999996</v>
      </c>
      <c r="R74" s="277">
        <f>Rounding!R169</f>
        <v>0.40699999999999997</v>
      </c>
      <c r="S74" s="277">
        <f>Rounding!S169</f>
        <v>0.40699999999999997</v>
      </c>
      <c r="T74" s="277">
        <f>Rounding!T169</f>
        <v>0.40699999999999997</v>
      </c>
      <c r="U74" s="277">
        <f>Rounding!U169</f>
        <v>0.40699999999999997</v>
      </c>
      <c r="V74" s="277">
        <f>Rounding!V169</f>
        <v>0.40699999999999997</v>
      </c>
      <c r="W74" s="277">
        <f>Rounding!W169</f>
        <v>0.3</v>
      </c>
      <c r="X74" s="277">
        <f>Rounding!X169</f>
        <v>0.3</v>
      </c>
      <c r="Y74" s="277">
        <f>Rounding!Y169</f>
        <v>0.3</v>
      </c>
      <c r="Z74" s="277">
        <f>Rounding!Z169</f>
        <v>0.3</v>
      </c>
      <c r="AA74" s="277">
        <f>Rounding!AA169</f>
        <v>0.3</v>
      </c>
      <c r="AB74" s="277">
        <f>Rounding!AB169</f>
        <v>0.217</v>
      </c>
      <c r="AC74" s="277">
        <f>Rounding!AC169</f>
        <v>0.217</v>
      </c>
      <c r="AD74" s="277">
        <f>Rounding!AD169</f>
        <v>0.217</v>
      </c>
      <c r="AE74" s="277">
        <f>Rounding!AE169</f>
        <v>0.217</v>
      </c>
      <c r="AF74" s="277">
        <f>Rounding!AF169</f>
        <v>0.217</v>
      </c>
      <c r="AG74" s="277">
        <f>Rounding!AG169</f>
        <v>1.046</v>
      </c>
      <c r="AH74" s="277">
        <f>Rounding!AH169</f>
        <v>-0.94599999999999995</v>
      </c>
      <c r="AI74" s="277">
        <f>Rounding!AI169</f>
        <v>-0.79100000000000004</v>
      </c>
      <c r="AJ74" s="277">
        <f>Rounding!AJ169</f>
        <v>-0.94599999999999995</v>
      </c>
      <c r="AK74" s="277">
        <f>Rounding!AK169</f>
        <v>0</v>
      </c>
      <c r="AL74" s="277">
        <f>Rounding!AL169</f>
        <v>-0.79100000000000004</v>
      </c>
      <c r="AM74" s="277">
        <f>Rounding!AM169</f>
        <v>0</v>
      </c>
      <c r="AN74" s="277">
        <f>Rounding!AN169</f>
        <v>-0.38700000000000001</v>
      </c>
      <c r="AO74" s="277">
        <f>Rounding!AO169</f>
        <v>0</v>
      </c>
      <c r="AP74" s="266"/>
      <c r="AQ74" s="266"/>
    </row>
    <row r="75" spans="3:43" x14ac:dyDescent="0.25">
      <c r="C75" s="100"/>
      <c r="F75" t="s">
        <v>158</v>
      </c>
      <c r="G75" s="46" t="s">
        <v>269</v>
      </c>
      <c r="H75" s="277"/>
      <c r="I75" s="266"/>
      <c r="J75" s="277">
        <f>Rounding!J170</f>
        <v>0.01</v>
      </c>
      <c r="K75" s="277">
        <f>Rounding!K170</f>
        <v>0.01</v>
      </c>
      <c r="L75" s="277">
        <f>Rounding!L170</f>
        <v>1.2E-2</v>
      </c>
      <c r="M75" s="277">
        <f>Rounding!M170</f>
        <v>1.2E-2</v>
      </c>
      <c r="N75" s="277">
        <f>Rounding!N170</f>
        <v>1.2E-2</v>
      </c>
      <c r="O75" s="277">
        <f>Rounding!O170</f>
        <v>1.2E-2</v>
      </c>
      <c r="P75" s="277">
        <f>Rounding!P170</f>
        <v>1.2E-2</v>
      </c>
      <c r="Q75" s="277">
        <f>Rounding!Q170</f>
        <v>1.2E-2</v>
      </c>
      <c r="R75" s="277">
        <f>Rounding!R170</f>
        <v>8.0000000000000002E-3</v>
      </c>
      <c r="S75" s="277">
        <f>Rounding!S170</f>
        <v>8.0000000000000002E-3</v>
      </c>
      <c r="T75" s="277">
        <f>Rounding!T170</f>
        <v>8.0000000000000002E-3</v>
      </c>
      <c r="U75" s="277">
        <f>Rounding!U170</f>
        <v>8.0000000000000002E-3</v>
      </c>
      <c r="V75" s="277">
        <f>Rounding!V170</f>
        <v>8.0000000000000002E-3</v>
      </c>
      <c r="W75" s="277">
        <f>Rounding!W170</f>
        <v>7.0000000000000001E-3</v>
      </c>
      <c r="X75" s="277">
        <f>Rounding!X170</f>
        <v>7.0000000000000001E-3</v>
      </c>
      <c r="Y75" s="277">
        <f>Rounding!Y170</f>
        <v>7.0000000000000001E-3</v>
      </c>
      <c r="Z75" s="277">
        <f>Rounding!Z170</f>
        <v>7.0000000000000001E-3</v>
      </c>
      <c r="AA75" s="277">
        <f>Rounding!AA170</f>
        <v>7.0000000000000001E-3</v>
      </c>
      <c r="AB75" s="277">
        <f>Rounding!AB170</f>
        <v>5.0000000000000001E-3</v>
      </c>
      <c r="AC75" s="277">
        <f>Rounding!AC170</f>
        <v>5.0000000000000001E-3</v>
      </c>
      <c r="AD75" s="277">
        <f>Rounding!AD170</f>
        <v>5.0000000000000001E-3</v>
      </c>
      <c r="AE75" s="277">
        <f>Rounding!AE170</f>
        <v>5.0000000000000001E-3</v>
      </c>
      <c r="AF75" s="277">
        <f>Rounding!AF170</f>
        <v>5.0000000000000001E-3</v>
      </c>
      <c r="AG75" s="277">
        <f>Rounding!AG170</f>
        <v>0.58799999999999997</v>
      </c>
      <c r="AH75" s="277">
        <f>Rounding!AH170</f>
        <v>-1.9E-2</v>
      </c>
      <c r="AI75" s="277">
        <f>Rounding!AI170</f>
        <v>-1.6E-2</v>
      </c>
      <c r="AJ75" s="277">
        <f>Rounding!AJ170</f>
        <v>-1.9E-2</v>
      </c>
      <c r="AK75" s="277">
        <f>Rounding!AK170</f>
        <v>0</v>
      </c>
      <c r="AL75" s="277">
        <f>Rounding!AL170</f>
        <v>-1.6E-2</v>
      </c>
      <c r="AM75" s="277">
        <f>Rounding!AM170</f>
        <v>0</v>
      </c>
      <c r="AN75" s="277">
        <f>Rounding!AN170</f>
        <v>-8.0000000000000002E-3</v>
      </c>
      <c r="AO75" s="277">
        <f>Rounding!AO170</f>
        <v>0</v>
      </c>
      <c r="AP75" s="266"/>
      <c r="AQ75" s="266"/>
    </row>
    <row r="76" spans="3:43" x14ac:dyDescent="0.25">
      <c r="C76" s="100"/>
      <c r="F76" t="s">
        <v>159</v>
      </c>
      <c r="G76" s="46" t="s">
        <v>270</v>
      </c>
      <c r="H76" s="63"/>
      <c r="J76" s="163">
        <f>Rounding!J171</f>
        <v>5.94</v>
      </c>
      <c r="K76" s="163">
        <f>Rounding!K171</f>
        <v>0</v>
      </c>
      <c r="L76" s="163">
        <f>Rounding!L171</f>
        <v>3.36</v>
      </c>
      <c r="M76" s="163">
        <f>Rounding!M171</f>
        <v>7.36</v>
      </c>
      <c r="N76" s="163">
        <f>Rounding!N171</f>
        <v>11.92</v>
      </c>
      <c r="O76" s="163">
        <f>Rounding!O171</f>
        <v>21.89</v>
      </c>
      <c r="P76" s="163">
        <f>Rounding!P171</f>
        <v>57.57</v>
      </c>
      <c r="Q76" s="163">
        <f>Rounding!Q171</f>
        <v>0</v>
      </c>
      <c r="R76" s="163">
        <f>Rounding!R171</f>
        <v>11.15</v>
      </c>
      <c r="S76" s="163">
        <f>Rounding!S171</f>
        <v>117.27</v>
      </c>
      <c r="T76" s="163">
        <f>Rounding!T171</f>
        <v>194.06</v>
      </c>
      <c r="U76" s="163">
        <f>Rounding!U171</f>
        <v>323.98</v>
      </c>
      <c r="V76" s="163">
        <f>Rounding!V171</f>
        <v>672.23</v>
      </c>
      <c r="W76" s="163">
        <f>Rounding!W171</f>
        <v>6.59</v>
      </c>
      <c r="X76" s="163">
        <f>Rounding!X171</f>
        <v>183.89</v>
      </c>
      <c r="Y76" s="163">
        <f>Rounding!Y171</f>
        <v>312.18</v>
      </c>
      <c r="Z76" s="163">
        <f>Rounding!Z171</f>
        <v>529.24</v>
      </c>
      <c r="AA76" s="163">
        <f>Rounding!AA171</f>
        <v>1111.07</v>
      </c>
      <c r="AB76" s="163">
        <f>Rounding!AB171</f>
        <v>114.05</v>
      </c>
      <c r="AC76" s="163">
        <f>Rounding!AC171</f>
        <v>1136.99</v>
      </c>
      <c r="AD76" s="163">
        <f>Rounding!AD171</f>
        <v>3357.26</v>
      </c>
      <c r="AE76" s="163">
        <f>Rounding!AE171</f>
        <v>6438.27</v>
      </c>
      <c r="AF76" s="163">
        <f>Rounding!AF171</f>
        <v>17128.810000000001</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160</v>
      </c>
      <c r="G77" s="46" t="s">
        <v>271</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2.04</v>
      </c>
      <c r="S77" s="163">
        <f>Rounding!S172</f>
        <v>2.04</v>
      </c>
      <c r="T77" s="163">
        <f>Rounding!T172</f>
        <v>2.04</v>
      </c>
      <c r="U77" s="163">
        <f>Rounding!U172</f>
        <v>2.04</v>
      </c>
      <c r="V77" s="163">
        <f>Rounding!V172</f>
        <v>2.04</v>
      </c>
      <c r="W77" s="163">
        <f>Rounding!W172</f>
        <v>4.8099999999999996</v>
      </c>
      <c r="X77" s="163">
        <f>Rounding!X172</f>
        <v>4.8099999999999996</v>
      </c>
      <c r="Y77" s="163">
        <f>Rounding!Y172</f>
        <v>4.8099999999999996</v>
      </c>
      <c r="Z77" s="163">
        <f>Rounding!Z172</f>
        <v>4.8099999999999996</v>
      </c>
      <c r="AA77" s="163">
        <f>Rounding!AA172</f>
        <v>4.8099999999999996</v>
      </c>
      <c r="AB77" s="163">
        <f>Rounding!AB172</f>
        <v>6.58</v>
      </c>
      <c r="AC77" s="163">
        <f>Rounding!AC172</f>
        <v>6.58</v>
      </c>
      <c r="AD77" s="163">
        <f>Rounding!AD172</f>
        <v>6.58</v>
      </c>
      <c r="AE77" s="163">
        <f>Rounding!AE172</f>
        <v>6.58</v>
      </c>
      <c r="AF77" s="163">
        <f>Rounding!AF172</f>
        <v>6.58</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161</v>
      </c>
      <c r="G78" s="46" t="s">
        <v>271</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2.04</v>
      </c>
      <c r="S78" s="163">
        <f>Rounding!S173</f>
        <v>2.04</v>
      </c>
      <c r="T78" s="163">
        <f>Rounding!T173</f>
        <v>2.04</v>
      </c>
      <c r="U78" s="163">
        <f>Rounding!U173</f>
        <v>2.04</v>
      </c>
      <c r="V78" s="163">
        <f>Rounding!V173</f>
        <v>2.04</v>
      </c>
      <c r="W78" s="163">
        <f>Rounding!W173</f>
        <v>4.8099999999999996</v>
      </c>
      <c r="X78" s="163">
        <f>Rounding!X173</f>
        <v>4.8099999999999996</v>
      </c>
      <c r="Y78" s="163">
        <f>Rounding!Y173</f>
        <v>4.8099999999999996</v>
      </c>
      <c r="Z78" s="163">
        <f>Rounding!Z173</f>
        <v>4.8099999999999996</v>
      </c>
      <c r="AA78" s="163">
        <f>Rounding!AA173</f>
        <v>4.8099999999999996</v>
      </c>
      <c r="AB78" s="163">
        <f>Rounding!AB173</f>
        <v>6.58</v>
      </c>
      <c r="AC78" s="163">
        <f>Rounding!AC173</f>
        <v>6.58</v>
      </c>
      <c r="AD78" s="163">
        <f>Rounding!AD173</f>
        <v>6.58</v>
      </c>
      <c r="AE78" s="163">
        <f>Rounding!AE173</f>
        <v>6.58</v>
      </c>
      <c r="AF78" s="163">
        <f>Rounding!AF173</f>
        <v>6.58</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162</v>
      </c>
      <c r="G79" s="139" t="s">
        <v>272</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8.7999999999999995E-2</v>
      </c>
      <c r="S79" s="314">
        <f>Rounding!S174</f>
        <v>8.7999999999999995E-2</v>
      </c>
      <c r="T79" s="314">
        <f>Rounding!T174</f>
        <v>8.7999999999999995E-2</v>
      </c>
      <c r="U79" s="314">
        <f>Rounding!U174</f>
        <v>8.7999999999999995E-2</v>
      </c>
      <c r="V79" s="314">
        <f>Rounding!V174</f>
        <v>8.7999999999999995E-2</v>
      </c>
      <c r="W79" s="314">
        <f>Rounding!W174</f>
        <v>7.9000000000000001E-2</v>
      </c>
      <c r="X79" s="314">
        <f>Rounding!X174</f>
        <v>7.9000000000000001E-2</v>
      </c>
      <c r="Y79" s="314">
        <f>Rounding!Y174</f>
        <v>7.9000000000000001E-2</v>
      </c>
      <c r="Z79" s="314">
        <f>Rounding!Z174</f>
        <v>7.9000000000000001E-2</v>
      </c>
      <c r="AA79" s="314">
        <f>Rounding!AA174</f>
        <v>7.9000000000000001E-2</v>
      </c>
      <c r="AB79" s="314">
        <f>Rounding!AB174</f>
        <v>6.2E-2</v>
      </c>
      <c r="AC79" s="314">
        <f>Rounding!AC174</f>
        <v>6.2E-2</v>
      </c>
      <c r="AD79" s="314">
        <f>Rounding!AD174</f>
        <v>6.2E-2</v>
      </c>
      <c r="AE79" s="314">
        <f>Rounding!AE174</f>
        <v>6.2E-2</v>
      </c>
      <c r="AF79" s="314">
        <f>Rounding!AF174</f>
        <v>6.2E-2</v>
      </c>
      <c r="AG79" s="314">
        <f>Rounding!AG174</f>
        <v>0</v>
      </c>
      <c r="AH79" s="314">
        <f>Rounding!AH174</f>
        <v>0</v>
      </c>
      <c r="AI79" s="314">
        <f>Rounding!AI174</f>
        <v>0</v>
      </c>
      <c r="AJ79" s="314">
        <f>Rounding!AJ174</f>
        <v>0.19800000000000001</v>
      </c>
      <c r="AK79" s="314">
        <f>Rounding!AK174</f>
        <v>0</v>
      </c>
      <c r="AL79" s="314">
        <f>Rounding!AL174</f>
        <v>0.16300000000000001</v>
      </c>
      <c r="AM79" s="314">
        <f>Rounding!AM174</f>
        <v>0</v>
      </c>
      <c r="AN79" s="314">
        <f>Rounding!AN174</f>
        <v>0.14699999999999999</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735</v>
      </c>
      <c r="G83" s="46" t="s">
        <v>277</v>
      </c>
      <c r="H83" s="163">
        <f>'General inputs'!$H$88</f>
        <v>479356811.17355114</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760</v>
      </c>
      <c r="G85" s="46" t="s">
        <v>277</v>
      </c>
      <c r="H85" s="163">
        <f>'Revenue matching'!H83</f>
        <v>344006297.83852404</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888</v>
      </c>
      <c r="G86" s="46" t="s">
        <v>277</v>
      </c>
      <c r="H86" s="167">
        <f>'SoLR &amp; bad debt adders'!H57</f>
        <v>897048.20975208061</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889</v>
      </c>
      <c r="G87" s="46" t="s">
        <v>277</v>
      </c>
      <c r="H87" s="167">
        <f>'SoLR &amp; bad debt adders'!H61</f>
        <v>1485.342932620164</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1003</v>
      </c>
      <c r="G88" s="46" t="s">
        <v>277</v>
      </c>
      <c r="H88" s="167">
        <f>'Revenue matching'!H85</f>
        <v>134451979.78234243</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761</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762</v>
      </c>
      <c r="G94" s="46"/>
      <c r="H94" s="359" t="s">
        <v>543</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156</v>
      </c>
      <c r="G95" s="138" t="s">
        <v>277</v>
      </c>
      <c r="H95" s="169">
        <f t="shared" ref="H95:H101" si="0">SUM(J95:AO95)</f>
        <v>143170689.61881891</v>
      </c>
      <c r="I95" s="90"/>
      <c r="J95" s="169">
        <f t="shared" ref="J95:AO95" si="1">J22 * thousand * J55 / hundred</f>
        <v>82731598.89623934</v>
      </c>
      <c r="K95" s="169">
        <f t="shared" si="1"/>
        <v>68612.666190003365</v>
      </c>
      <c r="L95" s="169">
        <f t="shared" si="1"/>
        <v>2334.8880868028664</v>
      </c>
      <c r="M95" s="169">
        <f t="shared" si="1"/>
        <v>2229027.6608031713</v>
      </c>
      <c r="N95" s="169">
        <f t="shared" si="1"/>
        <v>3930512.9493780811</v>
      </c>
      <c r="O95" s="169">
        <f t="shared" si="1"/>
        <v>4818943.686695613</v>
      </c>
      <c r="P95" s="169">
        <f t="shared" si="1"/>
        <v>14715063.475019703</v>
      </c>
      <c r="Q95" s="169">
        <f t="shared" si="1"/>
        <v>65254.644180000003</v>
      </c>
      <c r="R95" s="169">
        <f t="shared" si="1"/>
        <v>1173.9091444054384</v>
      </c>
      <c r="S95" s="169">
        <f t="shared" si="1"/>
        <v>4769383.0202062447</v>
      </c>
      <c r="T95" s="169">
        <f t="shared" si="1"/>
        <v>7056601.5702198241</v>
      </c>
      <c r="U95" s="169">
        <f t="shared" si="1"/>
        <v>3794953.038796348</v>
      </c>
      <c r="V95" s="169">
        <f t="shared" si="1"/>
        <v>9091996.134760255</v>
      </c>
      <c r="W95" s="169">
        <f t="shared" si="1"/>
        <v>7.8777565037927539</v>
      </c>
      <c r="X95" s="169">
        <f t="shared" si="1"/>
        <v>6741.0071816239342</v>
      </c>
      <c r="Y95" s="169">
        <f t="shared" si="1"/>
        <v>35283.377247639983</v>
      </c>
      <c r="Z95" s="169">
        <f t="shared" si="1"/>
        <v>108529.11602063337</v>
      </c>
      <c r="AA95" s="169">
        <f t="shared" si="1"/>
        <v>1199508.1805426327</v>
      </c>
      <c r="AB95" s="169">
        <f t="shared" si="1"/>
        <v>19721.682494023768</v>
      </c>
      <c r="AC95" s="169">
        <f t="shared" si="1"/>
        <v>645875.3469258718</v>
      </c>
      <c r="AD95" s="169">
        <f t="shared" si="1"/>
        <v>2463970.5962045519</v>
      </c>
      <c r="AE95" s="169">
        <f t="shared" si="1"/>
        <v>2177924.2836180199</v>
      </c>
      <c r="AF95" s="169">
        <f t="shared" si="1"/>
        <v>6507883.26520395</v>
      </c>
      <c r="AG95" s="169">
        <f t="shared" si="1"/>
        <v>3429560.7301454288</v>
      </c>
      <c r="AH95" s="169">
        <f t="shared" si="1"/>
        <v>-774042.82727527351</v>
      </c>
      <c r="AI95" s="169">
        <f t="shared" si="1"/>
        <v>-3904.6276465013375</v>
      </c>
      <c r="AJ95" s="169">
        <f t="shared" si="1"/>
        <v>-507480.53989999997</v>
      </c>
      <c r="AK95" s="169">
        <f t="shared" si="1"/>
        <v>0</v>
      </c>
      <c r="AL95" s="169">
        <f t="shared" si="1"/>
        <v>-4838.5118099999981</v>
      </c>
      <c r="AM95" s="169">
        <f t="shared" si="1"/>
        <v>0</v>
      </c>
      <c r="AN95" s="169">
        <f t="shared" si="1"/>
        <v>-5409505.8776100017</v>
      </c>
      <c r="AO95" s="169">
        <f t="shared" si="1"/>
        <v>0</v>
      </c>
    </row>
    <row r="96" spans="2:43" x14ac:dyDescent="0.25">
      <c r="E96" s="89"/>
      <c r="F96" t="s">
        <v>157</v>
      </c>
      <c r="G96" s="46" t="s">
        <v>277</v>
      </c>
      <c r="H96" s="141">
        <f t="shared" si="0"/>
        <v>62192906.015043825</v>
      </c>
      <c r="J96" s="141">
        <f t="shared" ref="J96:AO96" si="2">J23 * thousand * J56 / hundred</f>
        <v>31378242.9188333</v>
      </c>
      <c r="K96" s="141">
        <f t="shared" si="2"/>
        <v>208126.4696008187</v>
      </c>
      <c r="L96" s="141">
        <f t="shared" si="2"/>
        <v>1320.2640423893235</v>
      </c>
      <c r="M96" s="141">
        <f t="shared" si="2"/>
        <v>1260405.1931582282</v>
      </c>
      <c r="N96" s="141">
        <f t="shared" si="2"/>
        <v>2222511.196378218</v>
      </c>
      <c r="O96" s="141">
        <f t="shared" si="2"/>
        <v>2724874.9555937164</v>
      </c>
      <c r="P96" s="141">
        <f t="shared" si="2"/>
        <v>8320642.5598527109</v>
      </c>
      <c r="Q96" s="141">
        <f t="shared" si="2"/>
        <v>112546.48512</v>
      </c>
      <c r="R96" s="141">
        <f t="shared" si="2"/>
        <v>490.11329122883353</v>
      </c>
      <c r="S96" s="141">
        <f t="shared" si="2"/>
        <v>2336718.7699503759</v>
      </c>
      <c r="T96" s="141">
        <f t="shared" si="2"/>
        <v>3357109.7526447321</v>
      </c>
      <c r="U96" s="141">
        <f t="shared" si="2"/>
        <v>1886639.7656339896</v>
      </c>
      <c r="V96" s="141">
        <f t="shared" si="2"/>
        <v>4605588.2576694088</v>
      </c>
      <c r="W96" s="141">
        <f t="shared" si="2"/>
        <v>2.4994724553536405</v>
      </c>
      <c r="X96" s="141">
        <f t="shared" si="2"/>
        <v>2590.0805877017765</v>
      </c>
      <c r="Y96" s="141">
        <f t="shared" si="2"/>
        <v>12397.44654211791</v>
      </c>
      <c r="Z96" s="141">
        <f t="shared" si="2"/>
        <v>41425.435348701125</v>
      </c>
      <c r="AA96" s="141">
        <f t="shared" si="2"/>
        <v>464294.9019172418</v>
      </c>
      <c r="AB96" s="141">
        <f t="shared" si="2"/>
        <v>6604.5310019571043</v>
      </c>
      <c r="AC96" s="141">
        <f t="shared" si="2"/>
        <v>225630.08679117291</v>
      </c>
      <c r="AD96" s="141">
        <f t="shared" si="2"/>
        <v>856114.44740885927</v>
      </c>
      <c r="AE96" s="141">
        <f t="shared" si="2"/>
        <v>739243.24021769105</v>
      </c>
      <c r="AF96" s="141">
        <f t="shared" si="2"/>
        <v>2182368.2749505173</v>
      </c>
      <c r="AG96" s="141">
        <f t="shared" si="2"/>
        <v>1611772.4838119606</v>
      </c>
      <c r="AH96" s="141">
        <f t="shared" si="2"/>
        <v>-466197.48095870984</v>
      </c>
      <c r="AI96" s="141">
        <f t="shared" si="2"/>
        <v>-1798.550566962914</v>
      </c>
      <c r="AJ96" s="141">
        <f t="shared" si="2"/>
        <v>-261987.01848</v>
      </c>
      <c r="AK96" s="141">
        <f t="shared" si="2"/>
        <v>0</v>
      </c>
      <c r="AL96" s="141">
        <f t="shared" si="2"/>
        <v>-2584.8456200000001</v>
      </c>
      <c r="AM96" s="141">
        <f t="shared" si="2"/>
        <v>0</v>
      </c>
      <c r="AN96" s="141">
        <f t="shared" si="2"/>
        <v>-1632186.21915</v>
      </c>
      <c r="AO96" s="141">
        <f t="shared" si="2"/>
        <v>0</v>
      </c>
    </row>
    <row r="97" spans="5:41" x14ac:dyDescent="0.25">
      <c r="E97" s="89"/>
      <c r="F97" t="s">
        <v>158</v>
      </c>
      <c r="G97" s="46" t="s">
        <v>277</v>
      </c>
      <c r="H97" s="141">
        <f t="shared" si="0"/>
        <v>3248718.9551712396</v>
      </c>
      <c r="J97" s="141">
        <f t="shared" ref="J97:AO97" si="3">J24 * thousand * J57 / hundred</f>
        <v>610090.52115738601</v>
      </c>
      <c r="K97" s="141">
        <f t="shared" si="3"/>
        <v>42462.49938709812</v>
      </c>
      <c r="L97" s="141">
        <f t="shared" si="3"/>
        <v>22.252868906929198</v>
      </c>
      <c r="M97" s="141">
        <f t="shared" si="3"/>
        <v>21243.956233333553</v>
      </c>
      <c r="N97" s="141">
        <f t="shared" si="3"/>
        <v>37460.120634416817</v>
      </c>
      <c r="O97" s="141">
        <f t="shared" si="3"/>
        <v>45927.392724311489</v>
      </c>
      <c r="P97" s="141">
        <f t="shared" si="3"/>
        <v>140243.28631319196</v>
      </c>
      <c r="Q97" s="141">
        <f t="shared" si="3"/>
        <v>10029.6852</v>
      </c>
      <c r="R97" s="141">
        <f t="shared" si="3"/>
        <v>12.78770001772946</v>
      </c>
      <c r="S97" s="141">
        <f t="shared" si="3"/>
        <v>41820.539489875344</v>
      </c>
      <c r="T97" s="141">
        <f t="shared" si="3"/>
        <v>60176.820616557452</v>
      </c>
      <c r="U97" s="141">
        <f t="shared" si="3"/>
        <v>34895.537681506328</v>
      </c>
      <c r="V97" s="141">
        <f t="shared" si="3"/>
        <v>84212.557027915536</v>
      </c>
      <c r="W97" s="141">
        <f t="shared" si="3"/>
        <v>7.7911003872407875E-2</v>
      </c>
      <c r="X97" s="141">
        <f t="shared" si="3"/>
        <v>60.357575198930029</v>
      </c>
      <c r="Y97" s="141">
        <f t="shared" si="3"/>
        <v>279.60232013686016</v>
      </c>
      <c r="Z97" s="141">
        <f t="shared" si="3"/>
        <v>1008.5728515703875</v>
      </c>
      <c r="AA97" s="141">
        <f t="shared" si="3"/>
        <v>10359.948218986468</v>
      </c>
      <c r="AB97" s="141">
        <f t="shared" si="3"/>
        <v>177.6383290428746</v>
      </c>
      <c r="AC97" s="141">
        <f t="shared" si="3"/>
        <v>4930.8266173353159</v>
      </c>
      <c r="AD97" s="141">
        <f t="shared" si="3"/>
        <v>17955.697663304512</v>
      </c>
      <c r="AE97" s="141">
        <f t="shared" si="3"/>
        <v>16234.189964334266</v>
      </c>
      <c r="AF97" s="141">
        <f t="shared" si="3"/>
        <v>53210.27063737929</v>
      </c>
      <c r="AG97" s="141">
        <f t="shared" si="3"/>
        <v>2065199.7019364219</v>
      </c>
      <c r="AH97" s="141">
        <f t="shared" si="3"/>
        <v>-4313.4764156776955</v>
      </c>
      <c r="AI97" s="141">
        <f t="shared" si="3"/>
        <v>-32.23506231409732</v>
      </c>
      <c r="AJ97" s="141">
        <f t="shared" si="3"/>
        <v>-5572.7020900000007</v>
      </c>
      <c r="AK97" s="141">
        <f t="shared" si="3"/>
        <v>0</v>
      </c>
      <c r="AL97" s="141">
        <f t="shared" si="3"/>
        <v>-49.558399999999999</v>
      </c>
      <c r="AM97" s="141">
        <f t="shared" si="3"/>
        <v>0</v>
      </c>
      <c r="AN97" s="141">
        <f t="shared" si="3"/>
        <v>-39327.913919999999</v>
      </c>
      <c r="AO97" s="141">
        <f t="shared" si="3"/>
        <v>0</v>
      </c>
    </row>
    <row r="98" spans="5:41" x14ac:dyDescent="0.25">
      <c r="E98" s="89"/>
      <c r="F98" s="90" t="s">
        <v>159</v>
      </c>
      <c r="G98" s="138" t="s">
        <v>277</v>
      </c>
      <c r="H98" s="169">
        <f t="shared" si="0"/>
        <v>181569095.16699997</v>
      </c>
      <c r="I98" s="90"/>
      <c r="J98" s="169">
        <f t="shared" ref="J98:AO98" si="4" xml:space="preserve"> J25 * J58 * days_in_year / hundred</f>
        <v>100695214.3175</v>
      </c>
      <c r="K98" s="169">
        <f t="shared" si="4"/>
        <v>0</v>
      </c>
      <c r="L98" s="169">
        <f t="shared" si="4"/>
        <v>1817.5539999999999</v>
      </c>
      <c r="M98" s="169">
        <f t="shared" si="4"/>
        <v>3050222.875</v>
      </c>
      <c r="N98" s="169">
        <f t="shared" si="4"/>
        <v>4074600.7039999999</v>
      </c>
      <c r="O98" s="169">
        <f t="shared" si="4"/>
        <v>4236606.6839999994</v>
      </c>
      <c r="P98" s="169">
        <f t="shared" si="4"/>
        <v>11637163.599999998</v>
      </c>
      <c r="Q98" s="169">
        <f t="shared" si="4"/>
        <v>0</v>
      </c>
      <c r="R98" s="169">
        <f t="shared" si="4"/>
        <v>2464.1880000000001</v>
      </c>
      <c r="S98" s="169">
        <f t="shared" si="4"/>
        <v>4942351.2659999998</v>
      </c>
      <c r="T98" s="169">
        <f t="shared" si="4"/>
        <v>6820164.7949999999</v>
      </c>
      <c r="U98" s="169">
        <f t="shared" si="4"/>
        <v>3846353.9399999995</v>
      </c>
      <c r="V98" s="169">
        <f t="shared" si="4"/>
        <v>9810651.1860000007</v>
      </c>
      <c r="W98" s="169">
        <f t="shared" si="4"/>
        <v>36.317499999999995</v>
      </c>
      <c r="X98" s="169">
        <f t="shared" si="4"/>
        <v>9138.2129999999997</v>
      </c>
      <c r="Y98" s="169">
        <f t="shared" si="4"/>
        <v>39646.226999999999</v>
      </c>
      <c r="Z98" s="169">
        <f t="shared" si="4"/>
        <v>122736.579</v>
      </c>
      <c r="AA98" s="169">
        <f t="shared" si="4"/>
        <v>1276101.32</v>
      </c>
      <c r="AB98" s="169">
        <f t="shared" si="4"/>
        <v>81116.432000000001</v>
      </c>
      <c r="AC98" s="169">
        <f t="shared" si="4"/>
        <v>1901603.7179999999</v>
      </c>
      <c r="AD98" s="169">
        <f t="shared" si="4"/>
        <v>6470181.9170000004</v>
      </c>
      <c r="AE98" s="169">
        <f t="shared" si="4"/>
        <v>5569678.080000001</v>
      </c>
      <c r="AF98" s="169">
        <f t="shared" si="4"/>
        <v>16876015.535000004</v>
      </c>
      <c r="AG98" s="169">
        <f t="shared" si="4"/>
        <v>0</v>
      </c>
      <c r="AH98" s="169">
        <f t="shared" si="4"/>
        <v>0</v>
      </c>
      <c r="AI98" s="169">
        <f t="shared" si="4"/>
        <v>0</v>
      </c>
      <c r="AJ98" s="169">
        <f t="shared" si="4"/>
        <v>0</v>
      </c>
      <c r="AK98" s="169">
        <f t="shared" si="4"/>
        <v>0</v>
      </c>
      <c r="AL98" s="169">
        <f t="shared" si="4"/>
        <v>0</v>
      </c>
      <c r="AM98" s="169">
        <f t="shared" si="4"/>
        <v>0</v>
      </c>
      <c r="AN98" s="169">
        <f t="shared" si="4"/>
        <v>105229.719</v>
      </c>
      <c r="AO98" s="169">
        <f t="shared" si="4"/>
        <v>0</v>
      </c>
    </row>
    <row r="99" spans="5:41" x14ac:dyDescent="0.25">
      <c r="E99" s="89"/>
      <c r="F99" t="s">
        <v>160</v>
      </c>
      <c r="G99" s="46" t="s">
        <v>277</v>
      </c>
      <c r="H99" s="141">
        <f t="shared" si="0"/>
        <v>73620232.819999993</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18683.328000000001</v>
      </c>
      <c r="S99" s="141">
        <f t="shared" si="5"/>
        <v>4808226.03</v>
      </c>
      <c r="T99" s="141">
        <f t="shared" si="5"/>
        <v>8043210.3720000004</v>
      </c>
      <c r="U99" s="141">
        <f t="shared" si="5"/>
        <v>4490477.6160000004</v>
      </c>
      <c r="V99" s="141">
        <f t="shared" si="5"/>
        <v>11657398.470000001</v>
      </c>
      <c r="W99" s="141">
        <f t="shared" si="5"/>
        <v>212.28399999999999</v>
      </c>
      <c r="X99" s="141">
        <f t="shared" si="5"/>
        <v>12100.188</v>
      </c>
      <c r="Y99" s="141">
        <f t="shared" si="5"/>
        <v>69523.009999999995</v>
      </c>
      <c r="Z99" s="141">
        <f t="shared" si="5"/>
        <v>216317.39599999998</v>
      </c>
      <c r="AA99" s="141">
        <f t="shared" si="5"/>
        <v>2614436.6729999995</v>
      </c>
      <c r="AB99" s="141">
        <f t="shared" si="5"/>
        <v>465442.52500000002</v>
      </c>
      <c r="AC99" s="141">
        <f t="shared" si="5"/>
        <v>2259537.7560000001</v>
      </c>
      <c r="AD99" s="141">
        <f t="shared" si="5"/>
        <v>8817709.8579999991</v>
      </c>
      <c r="AE99" s="141">
        <f t="shared" si="5"/>
        <v>7753276.7829999998</v>
      </c>
      <c r="AF99" s="141">
        <f t="shared" si="5"/>
        <v>22393680.531000003</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25">
      <c r="E100" s="89"/>
      <c r="F100" t="s">
        <v>161</v>
      </c>
      <c r="G100" s="46" t="s">
        <v>277</v>
      </c>
      <c r="H100" s="141">
        <f t="shared" si="0"/>
        <v>835057.9986666668</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444.16849999999999</v>
      </c>
      <c r="S100" s="141">
        <f t="shared" si="6"/>
        <v>237862.43350000001</v>
      </c>
      <c r="T100" s="141">
        <f t="shared" si="6"/>
        <v>124987.13250000002</v>
      </c>
      <c r="U100" s="141">
        <f t="shared" si="6"/>
        <v>22811.113000000001</v>
      </c>
      <c r="V100" s="141">
        <f t="shared" si="6"/>
        <v>32066.454500000007</v>
      </c>
      <c r="W100" s="141">
        <f t="shared" si="6"/>
        <v>276.41145833333326</v>
      </c>
      <c r="X100" s="141">
        <f t="shared" si="6"/>
        <v>8230.4275833333322</v>
      </c>
      <c r="Y100" s="141">
        <f t="shared" si="6"/>
        <v>6386.2103333333334</v>
      </c>
      <c r="Z100" s="141">
        <f t="shared" si="6"/>
        <v>1581.0735416666669</v>
      </c>
      <c r="AA100" s="141">
        <f t="shared" si="6"/>
        <v>9256.4669166666645</v>
      </c>
      <c r="AB100" s="141">
        <f t="shared" si="6"/>
        <v>41017.945666666674</v>
      </c>
      <c r="AC100" s="141">
        <f t="shared" si="6"/>
        <v>130147.42341666669</v>
      </c>
      <c r="AD100" s="141">
        <f t="shared" si="6"/>
        <v>56140.218083333333</v>
      </c>
      <c r="AE100" s="141">
        <f t="shared" si="6"/>
        <v>47595.251749999996</v>
      </c>
      <c r="AF100" s="141">
        <f t="shared" si="6"/>
        <v>116255.26791666668</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25">
      <c r="E101" s="89"/>
      <c r="F101" s="90" t="s">
        <v>162</v>
      </c>
      <c r="G101" s="138" t="s">
        <v>277</v>
      </c>
      <c r="H101" s="169">
        <f t="shared" si="0"/>
        <v>725596.14624000003</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128.34764999999999</v>
      </c>
      <c r="S101" s="169">
        <f t="shared" si="7"/>
        <v>104472.35347000002</v>
      </c>
      <c r="T101" s="169">
        <f t="shared" si="7"/>
        <v>128251.86258</v>
      </c>
      <c r="U101" s="169">
        <f t="shared" si="7"/>
        <v>68566.251539999997</v>
      </c>
      <c r="V101" s="169">
        <f t="shared" si="7"/>
        <v>179330.79308000003</v>
      </c>
      <c r="W101" s="169">
        <f t="shared" si="7"/>
        <v>3.4843199999999994</v>
      </c>
      <c r="X101" s="169">
        <f t="shared" si="7"/>
        <v>782.47735999999986</v>
      </c>
      <c r="Y101" s="169">
        <f t="shared" si="7"/>
        <v>658.00693000000001</v>
      </c>
      <c r="Z101" s="169">
        <f t="shared" si="7"/>
        <v>2498.1455799999999</v>
      </c>
      <c r="AA101" s="169">
        <f t="shared" si="7"/>
        <v>20791.045729999998</v>
      </c>
      <c r="AB101" s="169">
        <f t="shared" si="7"/>
        <v>1509.74218</v>
      </c>
      <c r="AC101" s="169">
        <f t="shared" si="7"/>
        <v>17802.005660000003</v>
      </c>
      <c r="AD101" s="169">
        <f t="shared" si="7"/>
        <v>27814.956780000004</v>
      </c>
      <c r="AE101" s="169">
        <f t="shared" si="7"/>
        <v>25120.374459999999</v>
      </c>
      <c r="AF101" s="169">
        <f t="shared" si="7"/>
        <v>107978.50364000002</v>
      </c>
      <c r="AG101" s="169">
        <f t="shared" si="7"/>
        <v>0</v>
      </c>
      <c r="AH101" s="169">
        <f t="shared" si="7"/>
        <v>0</v>
      </c>
      <c r="AI101" s="169">
        <f t="shared" si="7"/>
        <v>0</v>
      </c>
      <c r="AJ101" s="169">
        <f t="shared" si="7"/>
        <v>12050.945280000002</v>
      </c>
      <c r="AK101" s="169">
        <f t="shared" si="7"/>
        <v>0</v>
      </c>
      <c r="AL101" s="169">
        <f t="shared" si="7"/>
        <v>300.00150000000002</v>
      </c>
      <c r="AM101" s="169">
        <f t="shared" si="7"/>
        <v>0</v>
      </c>
      <c r="AN101" s="169">
        <f t="shared" si="7"/>
        <v>27536.848499999996</v>
      </c>
      <c r="AO101" s="169">
        <f t="shared" si="7"/>
        <v>0</v>
      </c>
    </row>
    <row r="102" spans="5:41" x14ac:dyDescent="0.25">
      <c r="E102" s="89"/>
      <c r="F102" s="151" t="s">
        <v>100</v>
      </c>
      <c r="G102" s="360" t="s">
        <v>277</v>
      </c>
      <c r="H102" s="216">
        <f>SUM(H95:H101)</f>
        <v>465362296.72094053</v>
      </c>
      <c r="I102" s="361"/>
      <c r="J102" s="216">
        <f t="shared" ref="J102" si="8">SUM(J95:J101)</f>
        <v>215415146.65373003</v>
      </c>
      <c r="K102" s="216">
        <f t="shared" ref="K102:AO102" si="9">SUM(K95:K101)</f>
        <v>319201.63517792022</v>
      </c>
      <c r="L102" s="216">
        <f t="shared" si="9"/>
        <v>5494.9589980991186</v>
      </c>
      <c r="M102" s="216">
        <f t="shared" si="9"/>
        <v>6560899.6851947326</v>
      </c>
      <c r="N102" s="216">
        <f t="shared" si="9"/>
        <v>10265084.970390715</v>
      </c>
      <c r="O102" s="216">
        <f t="shared" si="9"/>
        <v>11826352.719013641</v>
      </c>
      <c r="P102" s="216">
        <f t="shared" si="9"/>
        <v>34813112.921185598</v>
      </c>
      <c r="Q102" s="216">
        <f t="shared" si="9"/>
        <v>187830.81450000001</v>
      </c>
      <c r="R102" s="216">
        <f t="shared" si="9"/>
        <v>23396.842285652001</v>
      </c>
      <c r="S102" s="216">
        <f t="shared" si="9"/>
        <v>17240834.412616499</v>
      </c>
      <c r="T102" s="216">
        <f t="shared" si="9"/>
        <v>25590502.305561118</v>
      </c>
      <c r="U102" s="216">
        <f t="shared" si="9"/>
        <v>14144697.262651842</v>
      </c>
      <c r="V102" s="216">
        <f t="shared" si="9"/>
        <v>35461243.853037581</v>
      </c>
      <c r="W102" s="216">
        <f t="shared" si="9"/>
        <v>538.95241829635211</v>
      </c>
      <c r="X102" s="216">
        <f t="shared" si="9"/>
        <v>39642.751287857966</v>
      </c>
      <c r="Y102" s="216">
        <f t="shared" si="9"/>
        <v>164173.88037322805</v>
      </c>
      <c r="Z102" s="216">
        <f t="shared" si="9"/>
        <v>494096.31834257155</v>
      </c>
      <c r="AA102" s="216">
        <f t="shared" si="9"/>
        <v>5594748.5363255274</v>
      </c>
      <c r="AB102" s="216">
        <f t="shared" si="9"/>
        <v>615590.49667169037</v>
      </c>
      <c r="AC102" s="216">
        <f t="shared" si="9"/>
        <v>5185527.1634110464</v>
      </c>
      <c r="AD102" s="216">
        <f t="shared" si="9"/>
        <v>18709887.691140052</v>
      </c>
      <c r="AE102" s="216">
        <f t="shared" si="9"/>
        <v>16329072.203010047</v>
      </c>
      <c r="AF102" s="216">
        <f t="shared" si="9"/>
        <v>48237391.648348525</v>
      </c>
      <c r="AG102" s="216">
        <f t="shared" si="9"/>
        <v>7106532.9158938117</v>
      </c>
      <c r="AH102" s="216">
        <f t="shared" si="9"/>
        <v>-1244553.784649661</v>
      </c>
      <c r="AI102" s="216">
        <f t="shared" si="9"/>
        <v>-5735.4132757783491</v>
      </c>
      <c r="AJ102" s="216">
        <f t="shared" si="9"/>
        <v>-762989.31518999999</v>
      </c>
      <c r="AK102" s="216">
        <f t="shared" si="9"/>
        <v>0</v>
      </c>
      <c r="AL102" s="216">
        <f t="shared" si="9"/>
        <v>-7172.9143299999978</v>
      </c>
      <c r="AM102" s="216">
        <f t="shared" si="9"/>
        <v>0</v>
      </c>
      <c r="AN102" s="216">
        <f t="shared" si="9"/>
        <v>-6948253.4431800023</v>
      </c>
      <c r="AO102" s="216">
        <f t="shared" si="9"/>
        <v>0</v>
      </c>
    </row>
    <row r="103" spans="5:41"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25">
      <c r="E104" s="60" t="s">
        <v>763</v>
      </c>
      <c r="G104" s="46"/>
      <c r="H104" s="359" t="s">
        <v>543</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25">
      <c r="E105" s="89"/>
      <c r="F105" s="90" t="s">
        <v>156</v>
      </c>
      <c r="G105" s="138" t="s">
        <v>277</v>
      </c>
      <c r="H105" s="169">
        <f t="shared" ref="H105:H111" si="10">SUM(J105:AO105)</f>
        <v>1619436.4999492932</v>
      </c>
      <c r="I105" s="90"/>
      <c r="J105" s="169">
        <f t="shared" ref="J105:AO105" si="11">J33 * thousand * J64 / hundred</f>
        <v>1466674.6175220404</v>
      </c>
      <c r="K105" s="169">
        <f t="shared" si="11"/>
        <v>109.14023278688526</v>
      </c>
      <c r="L105" s="169">
        <f t="shared" si="11"/>
        <v>0</v>
      </c>
      <c r="M105" s="169">
        <f t="shared" si="11"/>
        <v>13924.910993102176</v>
      </c>
      <c r="N105" s="169">
        <f t="shared" si="11"/>
        <v>19353.833070779892</v>
      </c>
      <c r="O105" s="169">
        <f t="shared" si="11"/>
        <v>12824.576126026746</v>
      </c>
      <c r="P105" s="169">
        <f t="shared" si="11"/>
        <v>20894.017378100132</v>
      </c>
      <c r="Q105" s="169">
        <f t="shared" si="11"/>
        <v>0</v>
      </c>
      <c r="R105" s="169">
        <f t="shared" si="11"/>
        <v>0</v>
      </c>
      <c r="S105" s="169">
        <f t="shared" si="11"/>
        <v>16465.462650000005</v>
      </c>
      <c r="T105" s="169">
        <f t="shared" si="11"/>
        <v>31743.184410000002</v>
      </c>
      <c r="U105" s="169">
        <f t="shared" si="11"/>
        <v>65990.948940000002</v>
      </c>
      <c r="V105" s="169">
        <f t="shared" si="11"/>
        <v>20381.505899999996</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4540.2601423084034</v>
      </c>
      <c r="AH105" s="169">
        <f t="shared" si="11"/>
        <v>-53465.957415851473</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25">
      <c r="E106" s="89"/>
      <c r="F106" t="s">
        <v>157</v>
      </c>
      <c r="G106" s="46" t="s">
        <v>277</v>
      </c>
      <c r="H106" s="141">
        <f t="shared" si="10"/>
        <v>661306.3968679267</v>
      </c>
      <c r="J106" s="141">
        <f t="shared" ref="J106:AO106" si="12">J34 * thousand * J65 / hundred</f>
        <v>588678.13892344397</v>
      </c>
      <c r="K106" s="141">
        <f t="shared" si="12"/>
        <v>208.19048754098364</v>
      </c>
      <c r="L106" s="141">
        <f t="shared" si="12"/>
        <v>0</v>
      </c>
      <c r="M106" s="141">
        <f t="shared" si="12"/>
        <v>7861.5410598247836</v>
      </c>
      <c r="N106" s="141">
        <f t="shared" si="12"/>
        <v>10927.068921971153</v>
      </c>
      <c r="O106" s="141">
        <f t="shared" si="12"/>
        <v>7283.2030442266514</v>
      </c>
      <c r="P106" s="141">
        <f t="shared" si="12"/>
        <v>11756.341041460935</v>
      </c>
      <c r="Q106" s="141">
        <f t="shared" si="12"/>
        <v>0</v>
      </c>
      <c r="R106" s="141">
        <f t="shared" si="12"/>
        <v>0</v>
      </c>
      <c r="S106" s="141">
        <f t="shared" si="12"/>
        <v>8424.3143899999995</v>
      </c>
      <c r="T106" s="141">
        <f t="shared" si="12"/>
        <v>15041.472800000003</v>
      </c>
      <c r="U106" s="141">
        <f t="shared" si="12"/>
        <v>29540.176869999999</v>
      </c>
      <c r="V106" s="141">
        <f t="shared" si="12"/>
        <v>9315.5955699999995</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5191.7916550956597</v>
      </c>
      <c r="AH106" s="141">
        <f t="shared" si="12"/>
        <v>-32921.437895637326</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25">
      <c r="E107" s="89"/>
      <c r="F107" t="s">
        <v>158</v>
      </c>
      <c r="G107" s="46" t="s">
        <v>277</v>
      </c>
      <c r="H107" s="141">
        <f t="shared" si="10"/>
        <v>15385.784921343493</v>
      </c>
      <c r="J107" s="141">
        <f t="shared" ref="J107:AO107" si="13">J35 * thousand * J66 / hundred</f>
        <v>10580.029737591269</v>
      </c>
      <c r="K107" s="141">
        <f t="shared" si="13"/>
        <v>22.036820983606557</v>
      </c>
      <c r="L107" s="141">
        <f t="shared" si="13"/>
        <v>0</v>
      </c>
      <c r="M107" s="141">
        <f t="shared" si="13"/>
        <v>125.2223528150267</v>
      </c>
      <c r="N107" s="141">
        <f t="shared" si="13"/>
        <v>174.41245252833613</v>
      </c>
      <c r="O107" s="141">
        <f t="shared" si="13"/>
        <v>117.52229431524744</v>
      </c>
      <c r="P107" s="141">
        <f t="shared" si="13"/>
        <v>188.86063651788308</v>
      </c>
      <c r="Q107" s="141">
        <f t="shared" si="13"/>
        <v>0</v>
      </c>
      <c r="R107" s="141">
        <f t="shared" si="13"/>
        <v>0</v>
      </c>
      <c r="S107" s="141">
        <f t="shared" si="13"/>
        <v>256.42812000000004</v>
      </c>
      <c r="T107" s="141">
        <f t="shared" si="13"/>
        <v>255.72534000000005</v>
      </c>
      <c r="U107" s="141">
        <f t="shared" si="13"/>
        <v>590.20038999999997</v>
      </c>
      <c r="V107" s="141">
        <f t="shared" si="13"/>
        <v>178.00470999999999</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3192.7287440706978</v>
      </c>
      <c r="AH107" s="141">
        <f t="shared" si="13"/>
        <v>-295.38667747857522</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25">
      <c r="E108" s="89"/>
      <c r="F108" s="90" t="s">
        <v>159</v>
      </c>
      <c r="G108" s="138" t="s">
        <v>277</v>
      </c>
      <c r="H108" s="169">
        <f t="shared" si="10"/>
        <v>2265491.7454999997</v>
      </c>
      <c r="I108" s="90"/>
      <c r="J108" s="169">
        <f t="shared" ref="J108:AO108" si="14" xml:space="preserve"> J36 * J67 * days_in_year / hundred</f>
        <v>1941968.7029999997</v>
      </c>
      <c r="K108" s="169">
        <f t="shared" si="14"/>
        <v>0</v>
      </c>
      <c r="L108" s="169">
        <f t="shared" si="14"/>
        <v>0</v>
      </c>
      <c r="M108" s="169">
        <f t="shared" si="14"/>
        <v>27934.107000000004</v>
      </c>
      <c r="N108" s="169">
        <f t="shared" si="14"/>
        <v>24244.76</v>
      </c>
      <c r="O108" s="169">
        <f t="shared" si="14"/>
        <v>20091.644</v>
      </c>
      <c r="P108" s="169">
        <f t="shared" si="14"/>
        <v>34071.582000000002</v>
      </c>
      <c r="Q108" s="169">
        <f t="shared" si="14"/>
        <v>0</v>
      </c>
      <c r="R108" s="169">
        <f t="shared" si="14"/>
        <v>0</v>
      </c>
      <c r="S108" s="169">
        <f t="shared" si="14"/>
        <v>24651.151000000002</v>
      </c>
      <c r="T108" s="169">
        <f t="shared" si="14"/>
        <v>50454.570500000002</v>
      </c>
      <c r="U108" s="169">
        <f t="shared" si="14"/>
        <v>78856.205999999991</v>
      </c>
      <c r="V108" s="169">
        <f t="shared" si="14"/>
        <v>63219.02199999999</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25">
      <c r="E109" s="89"/>
      <c r="F109" t="s">
        <v>160</v>
      </c>
      <c r="G109" s="46" t="s">
        <v>277</v>
      </c>
      <c r="H109" s="141">
        <f t="shared" si="10"/>
        <v>256856.55900000001</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23560.786499999998</v>
      </c>
      <c r="T109" s="141">
        <f t="shared" si="15"/>
        <v>56990.260499999997</v>
      </c>
      <c r="U109" s="141">
        <f t="shared" si="15"/>
        <v>91750.597500000003</v>
      </c>
      <c r="V109" s="141">
        <f t="shared" si="15"/>
        <v>84554.914499999999</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25">
      <c r="E110" s="89"/>
      <c r="F110" t="s">
        <v>161</v>
      </c>
      <c r="G110" s="46" t="s">
        <v>277</v>
      </c>
      <c r="H110" s="141">
        <f t="shared" si="10"/>
        <v>17132.041499999999</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17132.041499999999</v>
      </c>
      <c r="T110" s="141">
        <f t="shared" si="16"/>
        <v>0</v>
      </c>
      <c r="U110" s="141">
        <f t="shared" si="16"/>
        <v>0</v>
      </c>
      <c r="V110" s="141">
        <f t="shared" si="16"/>
        <v>0</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25">
      <c r="E111" s="89"/>
      <c r="F111" s="90" t="s">
        <v>162</v>
      </c>
      <c r="G111" s="138" t="s">
        <v>277</v>
      </c>
      <c r="H111" s="169">
        <f t="shared" si="10"/>
        <v>2300.0724800000003</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0</v>
      </c>
      <c r="S111" s="169">
        <f t="shared" si="17"/>
        <v>425.99672000000004</v>
      </c>
      <c r="T111" s="169">
        <f t="shared" si="17"/>
        <v>818.02980000000014</v>
      </c>
      <c r="U111" s="169">
        <f t="shared" si="17"/>
        <v>795.66252000000009</v>
      </c>
      <c r="V111" s="169">
        <f t="shared" si="17"/>
        <v>260.38344000000001</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25">
      <c r="E112" s="89"/>
      <c r="F112" s="151" t="s">
        <v>100</v>
      </c>
      <c r="G112" s="360" t="s">
        <v>277</v>
      </c>
      <c r="H112" s="216">
        <f>SUM(H105:H111)</f>
        <v>4837909.1002185633</v>
      </c>
      <c r="I112" s="151"/>
      <c r="J112" s="216">
        <f t="shared" ref="J112" si="18">SUM(J105:J111)</f>
        <v>4007901.4891830753</v>
      </c>
      <c r="K112" s="216">
        <f t="shared" ref="K112:AO112" si="19">SUM(K105:K111)</f>
        <v>339.36754131147546</v>
      </c>
      <c r="L112" s="216">
        <f t="shared" si="19"/>
        <v>0</v>
      </c>
      <c r="M112" s="216">
        <f t="shared" si="19"/>
        <v>49845.781405741989</v>
      </c>
      <c r="N112" s="216">
        <f t="shared" si="19"/>
        <v>54700.074445279381</v>
      </c>
      <c r="O112" s="216">
        <f t="shared" si="19"/>
        <v>40316.945464568649</v>
      </c>
      <c r="P112" s="216">
        <f t="shared" si="19"/>
        <v>66910.801056078955</v>
      </c>
      <c r="Q112" s="216">
        <f t="shared" si="19"/>
        <v>0</v>
      </c>
      <c r="R112" s="216">
        <f t="shared" si="19"/>
        <v>0</v>
      </c>
      <c r="S112" s="216">
        <f t="shared" si="19"/>
        <v>90916.18088</v>
      </c>
      <c r="T112" s="216">
        <f t="shared" si="19"/>
        <v>155303.24335</v>
      </c>
      <c r="U112" s="216">
        <f t="shared" si="19"/>
        <v>267523.79222</v>
      </c>
      <c r="V112" s="216">
        <f t="shared" si="19"/>
        <v>177909.42611999999</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12924.78054147476</v>
      </c>
      <c r="AH112" s="216">
        <f t="shared" si="19"/>
        <v>-86682.78198896737</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764</v>
      </c>
      <c r="G114" s="46"/>
      <c r="H114" s="359" t="s">
        <v>543</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156</v>
      </c>
      <c r="G115" s="138" t="s">
        <v>277</v>
      </c>
      <c r="H115" s="169">
        <f t="shared" ref="H115:H121" si="20">SUM(J115:AO115)</f>
        <v>2164037.9891517726</v>
      </c>
      <c r="I115" s="90"/>
      <c r="J115" s="169">
        <f t="shared" ref="J115:AO115" si="21">J44 * thousand * J73 / hundred</f>
        <v>1480387.5704801786</v>
      </c>
      <c r="K115" s="169">
        <f t="shared" si="21"/>
        <v>0</v>
      </c>
      <c r="L115" s="169">
        <f t="shared" si="21"/>
        <v>0</v>
      </c>
      <c r="M115" s="169">
        <f t="shared" si="21"/>
        <v>14567.619970523803</v>
      </c>
      <c r="N115" s="169">
        <f t="shared" si="21"/>
        <v>20144.315478652534</v>
      </c>
      <c r="O115" s="169">
        <f t="shared" si="21"/>
        <v>29471.779002399948</v>
      </c>
      <c r="P115" s="169">
        <f t="shared" si="21"/>
        <v>56903.59599486713</v>
      </c>
      <c r="Q115" s="169">
        <f t="shared" si="21"/>
        <v>0</v>
      </c>
      <c r="R115" s="169">
        <f t="shared" si="21"/>
        <v>0</v>
      </c>
      <c r="S115" s="169">
        <f t="shared" si="21"/>
        <v>42170.370480000005</v>
      </c>
      <c r="T115" s="169">
        <f t="shared" si="21"/>
        <v>104945.40672</v>
      </c>
      <c r="U115" s="169">
        <f t="shared" si="21"/>
        <v>135900.47520000002</v>
      </c>
      <c r="V115" s="169">
        <f t="shared" si="21"/>
        <v>349293.34944000008</v>
      </c>
      <c r="W115" s="169">
        <f t="shared" si="21"/>
        <v>0</v>
      </c>
      <c r="X115" s="169">
        <f t="shared" si="21"/>
        <v>0</v>
      </c>
      <c r="Y115" s="169">
        <f t="shared" si="21"/>
        <v>4248.3505500000001</v>
      </c>
      <c r="Z115" s="169">
        <f t="shared" si="21"/>
        <v>1787.87709</v>
      </c>
      <c r="AA115" s="169">
        <f t="shared" si="21"/>
        <v>132226.81317000004</v>
      </c>
      <c r="AB115" s="169">
        <f t="shared" si="21"/>
        <v>0</v>
      </c>
      <c r="AC115" s="169">
        <f t="shared" si="21"/>
        <v>27951.156359999994</v>
      </c>
      <c r="AD115" s="169">
        <f t="shared" si="21"/>
        <v>34636.895999999993</v>
      </c>
      <c r="AE115" s="169">
        <f t="shared" si="21"/>
        <v>45648.2736</v>
      </c>
      <c r="AF115" s="169">
        <f t="shared" si="21"/>
        <v>44780.438880000002</v>
      </c>
      <c r="AG115" s="169">
        <f t="shared" si="21"/>
        <v>2400.2726081640035</v>
      </c>
      <c r="AH115" s="169">
        <f t="shared" si="21"/>
        <v>-363422.75135301379</v>
      </c>
      <c r="AI115" s="169">
        <f t="shared" si="21"/>
        <v>0</v>
      </c>
      <c r="AJ115" s="169">
        <f t="shared" si="21"/>
        <v>-3.8205200000000015</v>
      </c>
      <c r="AK115" s="169">
        <f t="shared" si="21"/>
        <v>0</v>
      </c>
      <c r="AL115" s="169">
        <f t="shared" si="21"/>
        <v>0</v>
      </c>
      <c r="AM115" s="169">
        <f t="shared" si="21"/>
        <v>0</v>
      </c>
      <c r="AN115" s="169">
        <f t="shared" si="21"/>
        <v>0</v>
      </c>
      <c r="AO115" s="169">
        <f t="shared" si="21"/>
        <v>0</v>
      </c>
    </row>
    <row r="116" spans="3:43" x14ac:dyDescent="0.25">
      <c r="C116" s="100"/>
      <c r="F116" t="s">
        <v>157</v>
      </c>
      <c r="G116" s="46" t="s">
        <v>277</v>
      </c>
      <c r="H116" s="141">
        <f t="shared" si="20"/>
        <v>819678.54967643961</v>
      </c>
      <c r="J116" s="141">
        <f t="shared" ref="J116:AO116" si="22">J45 * thousand * J74 / hundred</f>
        <v>570376.56461991218</v>
      </c>
      <c r="K116" s="141">
        <f t="shared" si="22"/>
        <v>74.376899999999992</v>
      </c>
      <c r="L116" s="141">
        <f t="shared" si="22"/>
        <v>0</v>
      </c>
      <c r="M116" s="141">
        <f t="shared" si="22"/>
        <v>8228.3846310406116</v>
      </c>
      <c r="N116" s="141">
        <f t="shared" si="22"/>
        <v>11362.830573934332</v>
      </c>
      <c r="O116" s="141">
        <f t="shared" si="22"/>
        <v>16574.635668024457</v>
      </c>
      <c r="P116" s="141">
        <f t="shared" si="22"/>
        <v>32001.296404544657</v>
      </c>
      <c r="Q116" s="141">
        <f t="shared" si="22"/>
        <v>0</v>
      </c>
      <c r="R116" s="141">
        <f t="shared" si="22"/>
        <v>0</v>
      </c>
      <c r="S116" s="141">
        <f t="shared" si="22"/>
        <v>18730.974350000004</v>
      </c>
      <c r="T116" s="141">
        <f t="shared" si="22"/>
        <v>45582.09117</v>
      </c>
      <c r="U116" s="141">
        <f t="shared" si="22"/>
        <v>60057.697369999987</v>
      </c>
      <c r="V116" s="141">
        <f t="shared" si="22"/>
        <v>162314.51818999997</v>
      </c>
      <c r="W116" s="141">
        <f t="shared" si="22"/>
        <v>0</v>
      </c>
      <c r="X116" s="141">
        <f t="shared" si="22"/>
        <v>0</v>
      </c>
      <c r="Y116" s="141">
        <f t="shared" si="22"/>
        <v>1454.4990000000003</v>
      </c>
      <c r="Z116" s="141">
        <f t="shared" si="22"/>
        <v>659.35500000000002</v>
      </c>
      <c r="AA116" s="141">
        <f t="shared" si="22"/>
        <v>48657.599999999999</v>
      </c>
      <c r="AB116" s="141">
        <f t="shared" si="22"/>
        <v>0</v>
      </c>
      <c r="AC116" s="141">
        <f t="shared" si="22"/>
        <v>9196.5468000000019</v>
      </c>
      <c r="AD116" s="141">
        <f t="shared" si="22"/>
        <v>10877.26388</v>
      </c>
      <c r="AE116" s="141">
        <f t="shared" si="22"/>
        <v>14726.835199999998</v>
      </c>
      <c r="AF116" s="141">
        <f t="shared" si="22"/>
        <v>15738.020479999999</v>
      </c>
      <c r="AG116" s="141">
        <f t="shared" si="22"/>
        <v>2320.139605117733</v>
      </c>
      <c r="AH116" s="141">
        <f t="shared" si="22"/>
        <v>-209250.57720613424</v>
      </c>
      <c r="AI116" s="141">
        <f t="shared" si="22"/>
        <v>0</v>
      </c>
      <c r="AJ116" s="141">
        <f t="shared" si="22"/>
        <v>-4.5029600000000016</v>
      </c>
      <c r="AK116" s="141">
        <f t="shared" si="22"/>
        <v>0</v>
      </c>
      <c r="AL116" s="141">
        <f t="shared" si="22"/>
        <v>0</v>
      </c>
      <c r="AM116" s="141">
        <f t="shared" si="22"/>
        <v>0</v>
      </c>
      <c r="AN116" s="141">
        <f t="shared" si="22"/>
        <v>0</v>
      </c>
      <c r="AO116" s="141">
        <f t="shared" si="22"/>
        <v>0</v>
      </c>
    </row>
    <row r="117" spans="3:43" x14ac:dyDescent="0.25">
      <c r="C117" s="100"/>
      <c r="F117" t="s">
        <v>158</v>
      </c>
      <c r="G117" s="46" t="s">
        <v>277</v>
      </c>
      <c r="H117" s="141">
        <f t="shared" si="20"/>
        <v>18685.615402943793</v>
      </c>
      <c r="J117" s="141">
        <f t="shared" ref="J117:AO117" si="23">J46 * thousand * J75 / hundred</f>
        <v>10243.488722672098</v>
      </c>
      <c r="K117" s="141">
        <f t="shared" si="23"/>
        <v>26.036899999999996</v>
      </c>
      <c r="L117" s="141">
        <f t="shared" si="23"/>
        <v>0</v>
      </c>
      <c r="M117" s="141">
        <f t="shared" si="23"/>
        <v>134.79942167022278</v>
      </c>
      <c r="N117" s="141">
        <f t="shared" si="23"/>
        <v>184.35436190505533</v>
      </c>
      <c r="O117" s="141">
        <f t="shared" si="23"/>
        <v>273.47934114928711</v>
      </c>
      <c r="P117" s="141">
        <f t="shared" si="23"/>
        <v>544.33375413025919</v>
      </c>
      <c r="Q117" s="141">
        <f t="shared" si="23"/>
        <v>0</v>
      </c>
      <c r="R117" s="141">
        <f t="shared" si="23"/>
        <v>0</v>
      </c>
      <c r="S117" s="141">
        <f t="shared" si="23"/>
        <v>363.76647999999994</v>
      </c>
      <c r="T117" s="141">
        <f t="shared" si="23"/>
        <v>755.48576000000003</v>
      </c>
      <c r="U117" s="141">
        <f t="shared" si="23"/>
        <v>1093.53736</v>
      </c>
      <c r="V117" s="141">
        <f t="shared" si="23"/>
        <v>2880.0460000000007</v>
      </c>
      <c r="W117" s="141">
        <f t="shared" si="23"/>
        <v>0</v>
      </c>
      <c r="X117" s="141">
        <f t="shared" si="23"/>
        <v>0</v>
      </c>
      <c r="Y117" s="141">
        <f t="shared" si="23"/>
        <v>35.304079999999999</v>
      </c>
      <c r="Z117" s="141">
        <f t="shared" si="23"/>
        <v>18.046770000000002</v>
      </c>
      <c r="AA117" s="141">
        <f t="shared" si="23"/>
        <v>1059.6689600000002</v>
      </c>
      <c r="AB117" s="141">
        <f t="shared" si="23"/>
        <v>0</v>
      </c>
      <c r="AC117" s="141">
        <f t="shared" si="23"/>
        <v>230.34365000000008</v>
      </c>
      <c r="AD117" s="141">
        <f t="shared" si="23"/>
        <v>273.92529999999994</v>
      </c>
      <c r="AE117" s="141">
        <f t="shared" si="23"/>
        <v>417.62129999999996</v>
      </c>
      <c r="AF117" s="141">
        <f t="shared" si="23"/>
        <v>504.5163500000001</v>
      </c>
      <c r="AG117" s="141">
        <f t="shared" si="23"/>
        <v>1537.0569128253339</v>
      </c>
      <c r="AH117" s="141">
        <f t="shared" si="23"/>
        <v>-1889.9676414084656</v>
      </c>
      <c r="AI117" s="141">
        <f t="shared" si="23"/>
        <v>0</v>
      </c>
      <c r="AJ117" s="141">
        <f t="shared" si="23"/>
        <v>-0.22838</v>
      </c>
      <c r="AK117" s="141">
        <f t="shared" si="23"/>
        <v>0</v>
      </c>
      <c r="AL117" s="141">
        <f t="shared" si="23"/>
        <v>0</v>
      </c>
      <c r="AM117" s="141">
        <f t="shared" si="23"/>
        <v>0</v>
      </c>
      <c r="AN117" s="141">
        <f t="shared" si="23"/>
        <v>0</v>
      </c>
      <c r="AO117" s="141">
        <f t="shared" si="23"/>
        <v>0</v>
      </c>
    </row>
    <row r="118" spans="3:43" x14ac:dyDescent="0.25">
      <c r="C118" s="100"/>
      <c r="F118" s="90" t="s">
        <v>159</v>
      </c>
      <c r="G118" s="138" t="s">
        <v>277</v>
      </c>
      <c r="H118" s="169">
        <f t="shared" si="20"/>
        <v>3826544.7695000004</v>
      </c>
      <c r="I118" s="90"/>
      <c r="J118" s="169">
        <f t="shared" ref="J118:AO118" si="24" xml:space="preserve"> J47 * J76 * days_in_year / hundred</f>
        <v>2050914.1950000003</v>
      </c>
      <c r="K118" s="169">
        <f t="shared" si="24"/>
        <v>0</v>
      </c>
      <c r="L118" s="169">
        <f t="shared" si="24"/>
        <v>0</v>
      </c>
      <c r="M118" s="169">
        <f t="shared" si="24"/>
        <v>16870.592000000001</v>
      </c>
      <c r="N118" s="169">
        <f t="shared" si="24"/>
        <v>23233.271999999997</v>
      </c>
      <c r="O118" s="169">
        <f t="shared" si="24"/>
        <v>29482.5465</v>
      </c>
      <c r="P118" s="169">
        <f t="shared" si="24"/>
        <v>61358.106</v>
      </c>
      <c r="Q118" s="169">
        <f t="shared" si="24"/>
        <v>0</v>
      </c>
      <c r="R118" s="169">
        <f t="shared" si="24"/>
        <v>0</v>
      </c>
      <c r="S118" s="169">
        <f t="shared" si="24"/>
        <v>38951.230499999998</v>
      </c>
      <c r="T118" s="169">
        <f t="shared" si="24"/>
        <v>111206.08300000001</v>
      </c>
      <c r="U118" s="169">
        <f t="shared" si="24"/>
        <v>125347.86200000001</v>
      </c>
      <c r="V118" s="169">
        <f t="shared" si="24"/>
        <v>422025.99400000001</v>
      </c>
      <c r="W118" s="169">
        <f t="shared" si="24"/>
        <v>0</v>
      </c>
      <c r="X118" s="169">
        <f t="shared" si="24"/>
        <v>0</v>
      </c>
      <c r="Y118" s="169">
        <f t="shared" si="24"/>
        <v>3418.3709999999996</v>
      </c>
      <c r="Z118" s="169">
        <f t="shared" si="24"/>
        <v>1931.7260000000001</v>
      </c>
      <c r="AA118" s="169">
        <f t="shared" si="24"/>
        <v>166271.62549999999</v>
      </c>
      <c r="AB118" s="169">
        <f t="shared" si="24"/>
        <v>0</v>
      </c>
      <c r="AC118" s="169">
        <f t="shared" si="24"/>
        <v>37350.121500000001</v>
      </c>
      <c r="AD118" s="169">
        <f t="shared" si="24"/>
        <v>73523.994000000006</v>
      </c>
      <c r="AE118" s="169">
        <f t="shared" si="24"/>
        <v>164497.7985</v>
      </c>
      <c r="AF118" s="169">
        <f t="shared" si="24"/>
        <v>500161.25200000004</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25">
      <c r="C119" s="100"/>
      <c r="F119" t="s">
        <v>160</v>
      </c>
      <c r="G119" s="46" t="s">
        <v>277</v>
      </c>
      <c r="H119" s="141">
        <f t="shared" si="20"/>
        <v>2333883.1095000003</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0</v>
      </c>
      <c r="S119" s="141">
        <f t="shared" si="25"/>
        <v>38279.885999999999</v>
      </c>
      <c r="T119" s="141">
        <f t="shared" si="25"/>
        <v>135405.51</v>
      </c>
      <c r="U119" s="141">
        <f t="shared" si="25"/>
        <v>144906.60600000003</v>
      </c>
      <c r="V119" s="141">
        <f t="shared" si="25"/>
        <v>588159.54</v>
      </c>
      <c r="W119" s="141">
        <f t="shared" si="25"/>
        <v>0</v>
      </c>
      <c r="X119" s="141">
        <f t="shared" si="25"/>
        <v>0</v>
      </c>
      <c r="Y119" s="141">
        <f t="shared" si="25"/>
        <v>5740.9754999999996</v>
      </c>
      <c r="Z119" s="141">
        <f t="shared" si="25"/>
        <v>3950.2125000000001</v>
      </c>
      <c r="AA119" s="141">
        <f t="shared" si="25"/>
        <v>475061.33349999995</v>
      </c>
      <c r="AB119" s="141">
        <f t="shared" si="25"/>
        <v>0</v>
      </c>
      <c r="AC119" s="141">
        <f t="shared" si="25"/>
        <v>65878.630999999994</v>
      </c>
      <c r="AD119" s="141">
        <f t="shared" si="25"/>
        <v>88742.815000000002</v>
      </c>
      <c r="AE119" s="141">
        <f t="shared" si="25"/>
        <v>230563.20000000001</v>
      </c>
      <c r="AF119" s="141">
        <f t="shared" si="25"/>
        <v>557194.4</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25">
      <c r="C120" s="100"/>
      <c r="F120" t="s">
        <v>161</v>
      </c>
      <c r="G120" s="46" t="s">
        <v>277</v>
      </c>
      <c r="H120" s="141">
        <f t="shared" si="20"/>
        <v>17485.762999999999</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11556.191999999999</v>
      </c>
      <c r="T120" s="141">
        <f t="shared" si="26"/>
        <v>59.568000000000005</v>
      </c>
      <c r="U120" s="141">
        <f t="shared" si="26"/>
        <v>62.05</v>
      </c>
      <c r="V120" s="141">
        <f t="shared" si="26"/>
        <v>19.855999999999998</v>
      </c>
      <c r="W120" s="141">
        <f t="shared" si="26"/>
        <v>0</v>
      </c>
      <c r="X120" s="141">
        <f t="shared" si="26"/>
        <v>0</v>
      </c>
      <c r="Y120" s="141">
        <f t="shared" si="26"/>
        <v>0</v>
      </c>
      <c r="Z120" s="141">
        <f t="shared" si="26"/>
        <v>0</v>
      </c>
      <c r="AA120" s="141">
        <f t="shared" si="26"/>
        <v>0</v>
      </c>
      <c r="AB120" s="141">
        <f t="shared" si="26"/>
        <v>0</v>
      </c>
      <c r="AC120" s="141">
        <f t="shared" si="26"/>
        <v>0</v>
      </c>
      <c r="AD120" s="141">
        <f t="shared" si="26"/>
        <v>5788.0969999999998</v>
      </c>
      <c r="AE120" s="141">
        <f t="shared" si="26"/>
        <v>0</v>
      </c>
      <c r="AF120" s="141">
        <f t="shared" si="26"/>
        <v>0</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25">
      <c r="C121" s="100"/>
      <c r="F121" s="90" t="s">
        <v>162</v>
      </c>
      <c r="G121" s="138" t="s">
        <v>277</v>
      </c>
      <c r="H121" s="169">
        <f t="shared" si="20"/>
        <v>9487.1022599999978</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0</v>
      </c>
      <c r="S121" s="169">
        <f t="shared" si="27"/>
        <v>759.90815999999995</v>
      </c>
      <c r="T121" s="169">
        <f t="shared" si="27"/>
        <v>911.63599999999997</v>
      </c>
      <c r="U121" s="169">
        <f t="shared" si="27"/>
        <v>867.83488</v>
      </c>
      <c r="V121" s="169">
        <f t="shared" si="27"/>
        <v>4606.6134400000001</v>
      </c>
      <c r="W121" s="169">
        <f t="shared" si="27"/>
        <v>0</v>
      </c>
      <c r="X121" s="169">
        <f t="shared" si="27"/>
        <v>0</v>
      </c>
      <c r="Y121" s="169">
        <f t="shared" si="27"/>
        <v>16.041740000000001</v>
      </c>
      <c r="Z121" s="169">
        <f t="shared" si="27"/>
        <v>8.2159999999999997E-2</v>
      </c>
      <c r="AA121" s="169">
        <f t="shared" si="27"/>
        <v>1240.4832799999999</v>
      </c>
      <c r="AB121" s="169">
        <f t="shared" si="27"/>
        <v>0</v>
      </c>
      <c r="AC121" s="169">
        <f t="shared" si="27"/>
        <v>518.70688000000007</v>
      </c>
      <c r="AD121" s="169">
        <f t="shared" si="27"/>
        <v>0.12028</v>
      </c>
      <c r="AE121" s="169">
        <f t="shared" si="27"/>
        <v>401.87904000000003</v>
      </c>
      <c r="AF121" s="169">
        <f t="shared" si="27"/>
        <v>162.98063999999999</v>
      </c>
      <c r="AG121" s="169">
        <f t="shared" si="27"/>
        <v>0</v>
      </c>
      <c r="AH121" s="169">
        <f t="shared" si="27"/>
        <v>0</v>
      </c>
      <c r="AI121" s="169">
        <f t="shared" si="27"/>
        <v>0</v>
      </c>
      <c r="AJ121" s="169">
        <f t="shared" si="27"/>
        <v>0.81575999999999993</v>
      </c>
      <c r="AK121" s="169">
        <f t="shared" si="27"/>
        <v>0</v>
      </c>
      <c r="AL121" s="169">
        <f t="shared" si="27"/>
        <v>0</v>
      </c>
      <c r="AM121" s="169">
        <f t="shared" si="27"/>
        <v>0</v>
      </c>
      <c r="AN121" s="169">
        <f t="shared" si="27"/>
        <v>0</v>
      </c>
      <c r="AO121" s="169">
        <f t="shared" si="27"/>
        <v>0</v>
      </c>
    </row>
    <row r="122" spans="3:43" x14ac:dyDescent="0.25">
      <c r="C122" s="100"/>
      <c r="F122" s="151" t="s">
        <v>100</v>
      </c>
      <c r="G122" s="360" t="s">
        <v>277</v>
      </c>
      <c r="H122" s="216">
        <f>SUM(H115:H121)</f>
        <v>9189802.8984911572</v>
      </c>
      <c r="I122" s="151"/>
      <c r="J122" s="216">
        <f t="shared" ref="J122" si="28">SUM(J115:J121)</f>
        <v>4111921.8188227629</v>
      </c>
      <c r="K122" s="216">
        <f t="shared" ref="K122:AO122" si="29">SUM(K115:K121)</f>
        <v>100.41379999999998</v>
      </c>
      <c r="L122" s="216">
        <f t="shared" si="29"/>
        <v>0</v>
      </c>
      <c r="M122" s="216">
        <f t="shared" si="29"/>
        <v>39801.396023234644</v>
      </c>
      <c r="N122" s="216">
        <f t="shared" si="29"/>
        <v>54924.772414491919</v>
      </c>
      <c r="O122" s="216">
        <f t="shared" si="29"/>
        <v>75802.440511573688</v>
      </c>
      <c r="P122" s="216">
        <f t="shared" si="29"/>
        <v>150807.33215354205</v>
      </c>
      <c r="Q122" s="216">
        <f t="shared" si="29"/>
        <v>0</v>
      </c>
      <c r="R122" s="216">
        <f t="shared" si="29"/>
        <v>0</v>
      </c>
      <c r="S122" s="216">
        <f t="shared" si="29"/>
        <v>150812.32797000001</v>
      </c>
      <c r="T122" s="216">
        <f t="shared" si="29"/>
        <v>398865.78065000009</v>
      </c>
      <c r="U122" s="216">
        <f t="shared" si="29"/>
        <v>468236.06280999997</v>
      </c>
      <c r="V122" s="216">
        <f t="shared" si="29"/>
        <v>1529299.91707</v>
      </c>
      <c r="W122" s="216">
        <f t="shared" si="29"/>
        <v>0</v>
      </c>
      <c r="X122" s="216">
        <f t="shared" si="29"/>
        <v>0</v>
      </c>
      <c r="Y122" s="216">
        <f t="shared" si="29"/>
        <v>14913.541870000001</v>
      </c>
      <c r="Z122" s="216">
        <f t="shared" si="29"/>
        <v>8347.2995200000005</v>
      </c>
      <c r="AA122" s="216">
        <f t="shared" si="29"/>
        <v>824517.52441000007</v>
      </c>
      <c r="AB122" s="216">
        <f t="shared" si="29"/>
        <v>0</v>
      </c>
      <c r="AC122" s="216">
        <f t="shared" si="29"/>
        <v>141125.50619000001</v>
      </c>
      <c r="AD122" s="216">
        <f t="shared" si="29"/>
        <v>213843.11146000001</v>
      </c>
      <c r="AE122" s="216">
        <f t="shared" si="29"/>
        <v>456255.60764000006</v>
      </c>
      <c r="AF122" s="216">
        <f t="shared" si="29"/>
        <v>1118541.6083500001</v>
      </c>
      <c r="AG122" s="216">
        <f t="shared" si="29"/>
        <v>6257.4691261070702</v>
      </c>
      <c r="AH122" s="216">
        <f t="shared" si="29"/>
        <v>-574563.29620055645</v>
      </c>
      <c r="AI122" s="216">
        <f t="shared" si="29"/>
        <v>0</v>
      </c>
      <c r="AJ122" s="216">
        <f t="shared" si="29"/>
        <v>-7.7361000000000031</v>
      </c>
      <c r="AK122" s="216">
        <f t="shared" si="29"/>
        <v>0</v>
      </c>
      <c r="AL122" s="216">
        <f t="shared" si="29"/>
        <v>0</v>
      </c>
      <c r="AM122" s="216">
        <f t="shared" si="29"/>
        <v>0</v>
      </c>
      <c r="AN122" s="216">
        <f t="shared" si="29"/>
        <v>0</v>
      </c>
      <c r="AO122" s="216">
        <f t="shared" si="29"/>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735</v>
      </c>
      <c r="G126" s="46" t="s">
        <v>277</v>
      </c>
      <c r="H126" s="310">
        <f>H83</f>
        <v>479356811.17355114</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765</v>
      </c>
      <c r="G128" s="46" t="s">
        <v>277</v>
      </c>
      <c r="H128" s="320">
        <f>H85</f>
        <v>344006297.83852404</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888</v>
      </c>
      <c r="G129" s="46" t="s">
        <v>277</v>
      </c>
      <c r="H129" s="320">
        <f>H86</f>
        <v>897048.20975208061</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889</v>
      </c>
      <c r="G130" s="46" t="s">
        <v>277</v>
      </c>
      <c r="H130" s="320">
        <f>H87</f>
        <v>1485.342932620164</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1004</v>
      </c>
      <c r="G131" s="46" t="s">
        <v>277</v>
      </c>
      <c r="H131" s="320">
        <f>H88</f>
        <v>134451979.78234243</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766</v>
      </c>
      <c r="F132" s="91"/>
      <c r="G132" s="139" t="s">
        <v>277</v>
      </c>
      <c r="H132" s="321">
        <f>SUM(H102,H112,H122) - SUM(H128:H129, H131)</f>
        <v>34682.889031648636</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767</v>
      </c>
      <c r="F133" s="151"/>
      <c r="G133" s="360" t="s">
        <v>277</v>
      </c>
      <c r="H133" s="321">
        <f>SUM(H128:H132)</f>
        <v>479391494.06258285</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768</v>
      </c>
      <c r="G135" s="46" t="s">
        <v>277</v>
      </c>
      <c r="H135" s="362">
        <f>H133 - H126</f>
        <v>34682.889031708241</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768</v>
      </c>
      <c r="G136" s="46" t="s">
        <v>167</v>
      </c>
      <c r="H136" s="363">
        <f>(H133 - H126) / H126</f>
        <v>7.2352970111759399E-5</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769</v>
      </c>
      <c r="G140" s="46" t="s">
        <v>770</v>
      </c>
      <c r="H140" t="s">
        <v>771</v>
      </c>
      <c r="J140" s="311">
        <f t="shared" ref="J140:AO140" si="30" xml:space="preserve"> IF( J25 &lt;&gt; 0, J102 / J25, 0)</f>
        <v>115.79809685917331</v>
      </c>
      <c r="K140" s="311">
        <f t="shared" si="30"/>
        <v>3.5387815565007066</v>
      </c>
      <c r="L140" s="311">
        <f t="shared" si="30"/>
        <v>93.134898272866423</v>
      </c>
      <c r="M140" s="311">
        <f t="shared" si="30"/>
        <v>145.63595305648684</v>
      </c>
      <c r="N140" s="311">
        <f t="shared" si="30"/>
        <v>276.59746093960752</v>
      </c>
      <c r="O140" s="311">
        <f t="shared" si="30"/>
        <v>563.24011616010102</v>
      </c>
      <c r="P140" s="311">
        <f t="shared" si="30"/>
        <v>1588.1894580832845</v>
      </c>
      <c r="Q140" s="311">
        <f t="shared" si="30"/>
        <v>36.52874649941657</v>
      </c>
      <c r="R140" s="311">
        <f t="shared" si="30"/>
        <v>974.86842856883334</v>
      </c>
      <c r="S140" s="311">
        <f t="shared" si="30"/>
        <v>3773.4371662544318</v>
      </c>
      <c r="T140" s="311">
        <f t="shared" si="30"/>
        <v>6716.6672718008185</v>
      </c>
      <c r="U140" s="311">
        <f t="shared" si="30"/>
        <v>10990.440763521245</v>
      </c>
      <c r="V140" s="311">
        <f t="shared" si="30"/>
        <v>22415.451234537031</v>
      </c>
      <c r="W140" s="311">
        <f t="shared" si="30"/>
        <v>538.95241829635211</v>
      </c>
      <c r="X140" s="311">
        <f t="shared" si="30"/>
        <v>4404.7501430953298</v>
      </c>
      <c r="Y140" s="311">
        <f t="shared" si="30"/>
        <v>7137.9947988360018</v>
      </c>
      <c r="Z140" s="311">
        <f t="shared" si="30"/>
        <v>11764.198055775512</v>
      </c>
      <c r="AA140" s="311">
        <f t="shared" si="30"/>
        <v>26897.829501565036</v>
      </c>
      <c r="AB140" s="311">
        <f t="shared" si="30"/>
        <v>4159.395247781692</v>
      </c>
      <c r="AC140" s="311">
        <f t="shared" si="30"/>
        <v>14900.940124744386</v>
      </c>
      <c r="AD140" s="311">
        <f t="shared" si="30"/>
        <v>46658.074042743268</v>
      </c>
      <c r="AE140" s="311">
        <f t="shared" si="30"/>
        <v>90717.067794500254</v>
      </c>
      <c r="AF140" s="311">
        <f t="shared" si="30"/>
        <v>235304.34950413916</v>
      </c>
      <c r="AG140" s="311">
        <f t="shared" si="30"/>
        <v>1463.7554924601054</v>
      </c>
      <c r="AH140" s="311">
        <f t="shared" si="30"/>
        <v>-87.948770878777722</v>
      </c>
      <c r="AI140" s="311">
        <f t="shared" si="30"/>
        <v>-819.34475368262133</v>
      </c>
      <c r="AJ140" s="311">
        <f t="shared" si="30"/>
        <v>-1389.780173387978</v>
      </c>
      <c r="AK140" s="311">
        <f t="shared" si="30"/>
        <v>0</v>
      </c>
      <c r="AL140" s="311">
        <f t="shared" si="30"/>
        <v>-796.99048111111085</v>
      </c>
      <c r="AM140" s="311">
        <f t="shared" si="30"/>
        <v>0</v>
      </c>
      <c r="AN140" s="311">
        <f t="shared" si="30"/>
        <v>-26419.21461285172</v>
      </c>
      <c r="AO140" s="311">
        <f t="shared" si="30"/>
        <v>0</v>
      </c>
    </row>
    <row r="141" spans="3:43" x14ac:dyDescent="0.25">
      <c r="E141" t="s">
        <v>772</v>
      </c>
      <c r="G141" s="46" t="s">
        <v>770</v>
      </c>
      <c r="H141" t="s">
        <v>446</v>
      </c>
      <c r="J141" s="141">
        <f t="shared" ref="J141:AO141" si="31" xml:space="preserve"> IF( J36 &lt;&gt; 0, J112 / J36, 0)</f>
        <v>67.344974865711279</v>
      </c>
      <c r="K141" s="141">
        <f t="shared" si="31"/>
        <v>5.6561256885245914</v>
      </c>
      <c r="L141" s="141">
        <f t="shared" si="31"/>
        <v>0</v>
      </c>
      <c r="M141" s="141">
        <f t="shared" si="31"/>
        <v>72.555722570221235</v>
      </c>
      <c r="N141" s="141">
        <f t="shared" si="31"/>
        <v>148.64150664478092</v>
      </c>
      <c r="O141" s="141">
        <f t="shared" si="31"/>
        <v>242.87316544920873</v>
      </c>
      <c r="P141" s="141">
        <f t="shared" si="31"/>
        <v>625.33458930914912</v>
      </c>
      <c r="Q141" s="141">
        <f t="shared" si="31"/>
        <v>0</v>
      </c>
      <c r="R141" s="141">
        <f t="shared" si="31"/>
        <v>0</v>
      </c>
      <c r="S141" s="141">
        <f t="shared" si="31"/>
        <v>2392.5310757894736</v>
      </c>
      <c r="T141" s="141">
        <f t="shared" si="31"/>
        <v>3304.3243265957449</v>
      </c>
      <c r="U141" s="141">
        <f t="shared" si="31"/>
        <v>6080.0861868181819</v>
      </c>
      <c r="V141" s="141">
        <f t="shared" si="31"/>
        <v>10465.26036</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153.86643501755665</v>
      </c>
      <c r="AH141" s="141">
        <f t="shared" si="31"/>
        <v>-310.69097487085077</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25">
      <c r="E142" t="s">
        <v>773</v>
      </c>
      <c r="G142" s="46" t="s">
        <v>770</v>
      </c>
      <c r="H142" t="s">
        <v>447</v>
      </c>
      <c r="J142" s="141">
        <f t="shared" ref="J142:AO142" si="32" xml:space="preserve"> IF( J47 &lt;&gt; 0, J122 / J47, 0)</f>
        <v>43.468701504548477</v>
      </c>
      <c r="K142" s="141">
        <f t="shared" si="32"/>
        <v>1.4344828571428569</v>
      </c>
      <c r="L142" s="141">
        <f t="shared" si="32"/>
        <v>0</v>
      </c>
      <c r="M142" s="141">
        <f t="shared" si="32"/>
        <v>63.378019145278095</v>
      </c>
      <c r="N142" s="141">
        <f t="shared" si="32"/>
        <v>102.85537905335565</v>
      </c>
      <c r="O142" s="141">
        <f t="shared" si="32"/>
        <v>205.42666805304523</v>
      </c>
      <c r="P142" s="141">
        <f t="shared" si="32"/>
        <v>516.46346627925357</v>
      </c>
      <c r="Q142" s="141">
        <f t="shared" si="32"/>
        <v>0</v>
      </c>
      <c r="R142" s="141">
        <f t="shared" si="32"/>
        <v>0</v>
      </c>
      <c r="S142" s="141">
        <f t="shared" si="32"/>
        <v>1657.2783293406594</v>
      </c>
      <c r="T142" s="141">
        <f t="shared" si="32"/>
        <v>2540.5463735668795</v>
      </c>
      <c r="U142" s="141">
        <f t="shared" si="32"/>
        <v>4417.321347264151</v>
      </c>
      <c r="V142" s="141">
        <f t="shared" si="32"/>
        <v>8891.2785876162798</v>
      </c>
      <c r="W142" s="141">
        <f t="shared" si="32"/>
        <v>0</v>
      </c>
      <c r="X142" s="141">
        <f t="shared" si="32"/>
        <v>0</v>
      </c>
      <c r="Y142" s="141">
        <f t="shared" si="32"/>
        <v>4971.1806233333336</v>
      </c>
      <c r="Z142" s="141">
        <f t="shared" si="32"/>
        <v>8347.2995200000005</v>
      </c>
      <c r="AA142" s="141">
        <f t="shared" si="32"/>
        <v>20110.183522195122</v>
      </c>
      <c r="AB142" s="141">
        <f t="shared" si="32"/>
        <v>0</v>
      </c>
      <c r="AC142" s="141">
        <f t="shared" si="32"/>
        <v>15680.611798888891</v>
      </c>
      <c r="AD142" s="141">
        <f t="shared" si="32"/>
        <v>35640.518576666669</v>
      </c>
      <c r="AE142" s="141">
        <f t="shared" si="32"/>
        <v>65179.372520000012</v>
      </c>
      <c r="AF142" s="141">
        <f t="shared" si="32"/>
        <v>139817.70104375001</v>
      </c>
      <c r="AG142" s="141">
        <f t="shared" si="32"/>
        <v>115.87905789087166</v>
      </c>
      <c r="AH142" s="141">
        <f t="shared" si="32"/>
        <v>-306.92483771397247</v>
      </c>
      <c r="AI142" s="141">
        <f t="shared" si="32"/>
        <v>0</v>
      </c>
      <c r="AJ142" s="141">
        <f t="shared" si="32"/>
        <v>-7.7361000000000031</v>
      </c>
      <c r="AK142" s="141">
        <f t="shared" si="32"/>
        <v>0</v>
      </c>
      <c r="AL142" s="141">
        <f t="shared" si="32"/>
        <v>0</v>
      </c>
      <c r="AM142" s="141">
        <f t="shared" si="32"/>
        <v>0</v>
      </c>
      <c r="AN142" s="141">
        <f t="shared" si="32"/>
        <v>0</v>
      </c>
      <c r="AO142" s="141">
        <f t="shared" si="32"/>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774</v>
      </c>
      <c r="G146" s="46" t="s">
        <v>269</v>
      </c>
      <c r="H146" s="266" t="s">
        <v>771</v>
      </c>
      <c r="I146" s="266"/>
      <c r="J146" s="267">
        <f t="shared" ref="J146:AO146" si="33" xml:space="preserve"> IF( SUM(J$22:J$24) &lt;&gt; 0, J$102 / SUM(J$22:J$24) * hundred / thousand, 0)</f>
        <v>3.9183041858960967</v>
      </c>
      <c r="K146" s="267">
        <f t="shared" si="33"/>
        <v>0.17720103580909272</v>
      </c>
      <c r="L146" s="267">
        <f t="shared" si="33"/>
        <v>3.0332769082460835</v>
      </c>
      <c r="M146" s="267">
        <f t="shared" si="33"/>
        <v>3.7936880079004154</v>
      </c>
      <c r="N146" s="267">
        <f t="shared" si="33"/>
        <v>3.366099809350108</v>
      </c>
      <c r="O146" s="267">
        <f t="shared" si="33"/>
        <v>3.1630980061451606</v>
      </c>
      <c r="P146" s="267">
        <f t="shared" si="33"/>
        <v>3.0492595383778114</v>
      </c>
      <c r="Q146" s="267">
        <f t="shared" si="33"/>
        <v>0.45193726931942246</v>
      </c>
      <c r="R146" s="267">
        <f t="shared" si="33"/>
        <v>19.464189416315492</v>
      </c>
      <c r="S146" s="267">
        <f t="shared" si="33"/>
        <v>3.6396999346057926</v>
      </c>
      <c r="T146" s="267">
        <f t="shared" si="33"/>
        <v>3.7466642613861532</v>
      </c>
      <c r="U146" s="267">
        <f t="shared" si="33"/>
        <v>3.6523475490931649</v>
      </c>
      <c r="V146" s="267">
        <f t="shared" si="33"/>
        <v>3.7762536908189683</v>
      </c>
      <c r="W146" s="267">
        <f t="shared" si="33"/>
        <v>36.594808916706789</v>
      </c>
      <c r="X146" s="267">
        <f t="shared" si="33"/>
        <v>3.0576026057062737</v>
      </c>
      <c r="Y146" s="267">
        <f t="shared" si="33"/>
        <v>2.6618453688428718</v>
      </c>
      <c r="Z146" s="267">
        <f t="shared" si="33"/>
        <v>2.3326523752745163</v>
      </c>
      <c r="AA146" s="267">
        <f t="shared" si="33"/>
        <v>2.4575394164766466</v>
      </c>
      <c r="AB146" s="267">
        <f t="shared" si="33"/>
        <v>10.666776038131003</v>
      </c>
      <c r="AC146" s="267">
        <f t="shared" si="33"/>
        <v>2.9216593449446995</v>
      </c>
      <c r="AD146" s="267">
        <f t="shared" si="33"/>
        <v>2.829604711260211</v>
      </c>
      <c r="AE146" s="267">
        <f t="shared" si="33"/>
        <v>2.7941889145663161</v>
      </c>
      <c r="AF146" s="267">
        <f t="shared" si="33"/>
        <v>2.6572855029512779</v>
      </c>
      <c r="AG146" s="267">
        <f t="shared" si="33"/>
        <v>3.3795915114065012</v>
      </c>
      <c r="AH146" s="267">
        <f t="shared" si="33"/>
        <v>-1.5384255547317964</v>
      </c>
      <c r="AI146" s="267">
        <f t="shared" si="33"/>
        <v>-1.1924674896306073</v>
      </c>
      <c r="AJ146" s="267">
        <f t="shared" si="33"/>
        <v>-1.2136229367544553</v>
      </c>
      <c r="AK146" s="267">
        <f t="shared" si="33"/>
        <v>0</v>
      </c>
      <c r="AL146" s="267">
        <f t="shared" si="33"/>
        <v>-1.0230753573247107</v>
      </c>
      <c r="AM146" s="267">
        <f t="shared" si="33"/>
        <v>0</v>
      </c>
      <c r="AN146" s="267">
        <f t="shared" si="33"/>
        <v>-0.67539584569837141</v>
      </c>
      <c r="AO146" s="267">
        <f t="shared" si="33"/>
        <v>0</v>
      </c>
      <c r="AP146" s="266"/>
      <c r="AQ146" s="266"/>
    </row>
    <row r="147" spans="2:43" x14ac:dyDescent="0.25">
      <c r="E147" t="s">
        <v>775</v>
      </c>
      <c r="G147" s="46" t="s">
        <v>269</v>
      </c>
      <c r="H147" s="266" t="s">
        <v>446</v>
      </c>
      <c r="I147" s="266"/>
      <c r="J147" s="280">
        <f t="shared" ref="J147:AO147" si="34" xml:space="preserve"> IF( SUM(J$33:J$35) &lt;&gt; 0, J$112 / SUM(J$33:J$35) * hundred / thousand, 0)</f>
        <v>2.4516569674571778</v>
      </c>
      <c r="K147" s="280">
        <f t="shared" si="34"/>
        <v>0.20400705461219443</v>
      </c>
      <c r="L147" s="280">
        <f t="shared" si="34"/>
        <v>0</v>
      </c>
      <c r="M147" s="280">
        <f t="shared" si="34"/>
        <v>2.8354732020731883</v>
      </c>
      <c r="N147" s="280">
        <f t="shared" si="34"/>
        <v>2.2368399661354181</v>
      </c>
      <c r="O147" s="280">
        <f t="shared" si="34"/>
        <v>2.4642493685637121</v>
      </c>
      <c r="P147" s="280">
        <f t="shared" si="34"/>
        <v>2.5358280921318062</v>
      </c>
      <c r="Q147" s="280">
        <f t="shared" si="34"/>
        <v>0</v>
      </c>
      <c r="R147" s="280">
        <f t="shared" si="34"/>
        <v>0</v>
      </c>
      <c r="S147" s="280">
        <f t="shared" si="34"/>
        <v>2.5176963628116305</v>
      </c>
      <c r="T147" s="280">
        <f t="shared" si="34"/>
        <v>3.1491189920353082</v>
      </c>
      <c r="U147" s="280">
        <f t="shared" si="34"/>
        <v>2.5667575095206248</v>
      </c>
      <c r="V147" s="280">
        <f t="shared" si="34"/>
        <v>5.5298464133122049</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1.8243171653935353</v>
      </c>
      <c r="AH147" s="280">
        <f t="shared" si="34"/>
        <v>-1.534075870581068</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25">
      <c r="E148" t="s">
        <v>776</v>
      </c>
      <c r="G148" s="46" t="s">
        <v>269</v>
      </c>
      <c r="H148" s="266" t="s">
        <v>447</v>
      </c>
      <c r="I148" s="266"/>
      <c r="J148" s="280">
        <f t="shared" ref="J148:AO148" si="35" xml:space="preserve"> IF( SUM(J$44:J$46) &lt;&gt; 0, J$122 / SUM(J$44:J$46) * hundred / thousand, 0)</f>
        <v>1.6663796686651449</v>
      </c>
      <c r="K148" s="280">
        <f t="shared" si="35"/>
        <v>3.6508931460629217E-2</v>
      </c>
      <c r="L148" s="280">
        <f t="shared" si="35"/>
        <v>0</v>
      </c>
      <c r="M148" s="280">
        <f t="shared" si="35"/>
        <v>1.4165518718013226</v>
      </c>
      <c r="N148" s="280">
        <f t="shared" si="35"/>
        <v>1.4208547928213429</v>
      </c>
      <c r="O148" s="280">
        <f t="shared" si="35"/>
        <v>1.3349347605975794</v>
      </c>
      <c r="P148" s="280">
        <f t="shared" si="35"/>
        <v>1.3586941456069053</v>
      </c>
      <c r="Q148" s="280">
        <f t="shared" si="35"/>
        <v>0</v>
      </c>
      <c r="R148" s="280">
        <f t="shared" si="35"/>
        <v>0</v>
      </c>
      <c r="S148" s="280">
        <f t="shared" si="35"/>
        <v>1.4771172590274804</v>
      </c>
      <c r="T148" s="280">
        <f t="shared" si="35"/>
        <v>1.7131514905460417</v>
      </c>
      <c r="U148" s="280">
        <f t="shared" si="35"/>
        <v>1.4704323379065845</v>
      </c>
      <c r="V148" s="280">
        <f t="shared" si="35"/>
        <v>1.806266798967183</v>
      </c>
      <c r="W148" s="280">
        <f t="shared" si="35"/>
        <v>0</v>
      </c>
      <c r="X148" s="280">
        <f t="shared" si="35"/>
        <v>0</v>
      </c>
      <c r="Y148" s="280">
        <f t="shared" si="35"/>
        <v>1.348516610574706</v>
      </c>
      <c r="Z148" s="280">
        <f t="shared" si="35"/>
        <v>1.5847487446058393</v>
      </c>
      <c r="AA148" s="280">
        <f t="shared" si="35"/>
        <v>2.3563749258629327</v>
      </c>
      <c r="AB148" s="280">
        <f t="shared" si="35"/>
        <v>0</v>
      </c>
      <c r="AC148" s="280">
        <f t="shared" si="35"/>
        <v>1.4429479711380764</v>
      </c>
      <c r="AD148" s="280">
        <f t="shared" si="35"/>
        <v>1.8355206485343261</v>
      </c>
      <c r="AE148" s="280">
        <f t="shared" si="35"/>
        <v>2.7375271852758432</v>
      </c>
      <c r="AF148" s="280">
        <f t="shared" si="35"/>
        <v>5.9365699024076957</v>
      </c>
      <c r="AG148" s="280">
        <f t="shared" si="35"/>
        <v>1.2474227575812238</v>
      </c>
      <c r="AH148" s="280">
        <f t="shared" si="35"/>
        <v>-1.584907717652823</v>
      </c>
      <c r="AI148" s="280">
        <f t="shared" si="35"/>
        <v>0</v>
      </c>
      <c r="AJ148" s="280">
        <f t="shared" si="35"/>
        <v>-0.4492508710801395</v>
      </c>
      <c r="AK148" s="280">
        <f t="shared" si="35"/>
        <v>0</v>
      </c>
      <c r="AL148" s="280">
        <f t="shared" si="35"/>
        <v>0</v>
      </c>
      <c r="AM148" s="280">
        <f t="shared" si="35"/>
        <v>0</v>
      </c>
      <c r="AN148" s="280">
        <f t="shared" si="35"/>
        <v>0</v>
      </c>
      <c r="AO148" s="280">
        <f t="shared" si="35"/>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777</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778</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156</v>
      </c>
      <c r="G155" s="90" t="s">
        <v>269</v>
      </c>
      <c r="H155" s="364"/>
      <c r="I155" s="264"/>
      <c r="J155" s="276">
        <f>'Inputs by customer type'!J198</f>
        <v>8.3000000000000007</v>
      </c>
      <c r="K155" s="276">
        <f>'Inputs by customer type'!K198</f>
        <v>8.3000000000000007</v>
      </c>
      <c r="L155" s="276">
        <f>'Inputs by customer type'!L198</f>
        <v>10.018000000000001</v>
      </c>
      <c r="M155" s="276">
        <f>'Inputs by customer type'!M198</f>
        <v>10.018000000000001</v>
      </c>
      <c r="N155" s="276">
        <f>'Inputs by customer type'!N198</f>
        <v>10.018000000000001</v>
      </c>
      <c r="O155" s="276">
        <f>'Inputs by customer type'!O198</f>
        <v>10.018000000000001</v>
      </c>
      <c r="P155" s="276">
        <f>'Inputs by customer type'!P198</f>
        <v>10.018000000000001</v>
      </c>
      <c r="Q155" s="276">
        <f>'Inputs by customer type'!Q198</f>
        <v>10.018000000000001</v>
      </c>
      <c r="R155" s="276">
        <f>'Inputs by customer type'!R198</f>
        <v>7.2439999999999998</v>
      </c>
      <c r="S155" s="276">
        <f>'Inputs by customer type'!S198</f>
        <v>7.2439999999999998</v>
      </c>
      <c r="T155" s="276">
        <f>'Inputs by customer type'!T198</f>
        <v>7.2439999999999998</v>
      </c>
      <c r="U155" s="276">
        <f>'Inputs by customer type'!U198</f>
        <v>7.2439999999999998</v>
      </c>
      <c r="V155" s="276">
        <f>'Inputs by customer type'!V198</f>
        <v>7.2439999999999998</v>
      </c>
      <c r="W155" s="276">
        <f>'Inputs by customer type'!W198</f>
        <v>4.1680000000000001</v>
      </c>
      <c r="X155" s="276">
        <f>'Inputs by customer type'!X198</f>
        <v>4.1680000000000001</v>
      </c>
      <c r="Y155" s="276">
        <f>'Inputs by customer type'!Y198</f>
        <v>4.1680000000000001</v>
      </c>
      <c r="Z155" s="276">
        <f>'Inputs by customer type'!Z198</f>
        <v>4.1680000000000001</v>
      </c>
      <c r="AA155" s="276">
        <f>'Inputs by customer type'!AA198</f>
        <v>4.1680000000000001</v>
      </c>
      <c r="AB155" s="276">
        <f>'Inputs by customer type'!AB198</f>
        <v>2.887</v>
      </c>
      <c r="AC155" s="276">
        <f>'Inputs by customer type'!AC198</f>
        <v>2.887</v>
      </c>
      <c r="AD155" s="276">
        <f>'Inputs by customer type'!AD198</f>
        <v>2.887</v>
      </c>
      <c r="AE155" s="276">
        <f>'Inputs by customer type'!AE198</f>
        <v>2.887</v>
      </c>
      <c r="AF155" s="276">
        <f>'Inputs by customer type'!AF198</f>
        <v>2.887</v>
      </c>
      <c r="AG155" s="276">
        <f>'Inputs by customer type'!AG198</f>
        <v>25.23</v>
      </c>
      <c r="AH155" s="276">
        <f>'Inputs by customer type'!AH198</f>
        <v>-6.5279999999999996</v>
      </c>
      <c r="AI155" s="276">
        <f>'Inputs by customer type'!AI198</f>
        <v>-5.6840000000000002</v>
      </c>
      <c r="AJ155" s="276">
        <f>'Inputs by customer type'!AJ198</f>
        <v>-6.5279999999999996</v>
      </c>
      <c r="AK155" s="276">
        <f>'Inputs by customer type'!AK198</f>
        <v>-6.5279999999999996</v>
      </c>
      <c r="AL155" s="276">
        <f>'Inputs by customer type'!AL198</f>
        <v>-5.6840000000000002</v>
      </c>
      <c r="AM155" s="276">
        <f>'Inputs by customer type'!AM198</f>
        <v>-5.6840000000000002</v>
      </c>
      <c r="AN155" s="276">
        <f>'Inputs by customer type'!AN198</f>
        <v>-3.512</v>
      </c>
      <c r="AO155" s="276">
        <f>'Inputs by customer type'!AO198</f>
        <v>-3.512</v>
      </c>
      <c r="AP155" s="266"/>
      <c r="AQ155" s="266"/>
    </row>
    <row r="156" spans="2:43" x14ac:dyDescent="0.25">
      <c r="E156" s="89"/>
      <c r="F156" t="s">
        <v>157</v>
      </c>
      <c r="G156" t="s">
        <v>269</v>
      </c>
      <c r="H156" s="365"/>
      <c r="I156" s="266"/>
      <c r="J156" s="277">
        <f>'Inputs by customer type'!J199</f>
        <v>0.95299999999999996</v>
      </c>
      <c r="K156" s="277">
        <f>'Inputs by customer type'!K199</f>
        <v>0.95299999999999996</v>
      </c>
      <c r="L156" s="277">
        <f>'Inputs by customer type'!L199</f>
        <v>1.1499999999999999</v>
      </c>
      <c r="M156" s="277">
        <f>'Inputs by customer type'!M199</f>
        <v>1.1499999999999999</v>
      </c>
      <c r="N156" s="277">
        <f>'Inputs by customer type'!N199</f>
        <v>1.1499999999999999</v>
      </c>
      <c r="O156" s="277">
        <f>'Inputs by customer type'!O199</f>
        <v>1.1499999999999999</v>
      </c>
      <c r="P156" s="277">
        <f>'Inputs by customer type'!P199</f>
        <v>1.1499999999999999</v>
      </c>
      <c r="Q156" s="277">
        <f>'Inputs by customer type'!Q199</f>
        <v>1.1499999999999999</v>
      </c>
      <c r="R156" s="277">
        <f>'Inputs by customer type'!R199</f>
        <v>0.78700000000000003</v>
      </c>
      <c r="S156" s="277">
        <f>'Inputs by customer type'!S199</f>
        <v>0.78700000000000003</v>
      </c>
      <c r="T156" s="277">
        <f>'Inputs by customer type'!T199</f>
        <v>0.78700000000000003</v>
      </c>
      <c r="U156" s="277">
        <f>'Inputs by customer type'!U199</f>
        <v>0.78700000000000003</v>
      </c>
      <c r="V156" s="277">
        <f>'Inputs by customer type'!V199</f>
        <v>0.78700000000000003</v>
      </c>
      <c r="W156" s="277">
        <f>'Inputs by customer type'!W199</f>
        <v>0.374</v>
      </c>
      <c r="X156" s="277">
        <f>'Inputs by customer type'!X199</f>
        <v>0.374</v>
      </c>
      <c r="Y156" s="277">
        <f>'Inputs by customer type'!Y199</f>
        <v>0.374</v>
      </c>
      <c r="Z156" s="277">
        <f>'Inputs by customer type'!Z199</f>
        <v>0.374</v>
      </c>
      <c r="AA156" s="277">
        <f>'Inputs by customer type'!AA199</f>
        <v>0.374</v>
      </c>
      <c r="AB156" s="277">
        <f>'Inputs by customer type'!AB199</f>
        <v>0.22900000000000001</v>
      </c>
      <c r="AC156" s="277">
        <f>'Inputs by customer type'!AC199</f>
        <v>0.22900000000000001</v>
      </c>
      <c r="AD156" s="277">
        <f>'Inputs by customer type'!AD199</f>
        <v>0.22900000000000001</v>
      </c>
      <c r="AE156" s="277">
        <f>'Inputs by customer type'!AE199</f>
        <v>0.22900000000000001</v>
      </c>
      <c r="AF156" s="277">
        <f>'Inputs by customer type'!AF199</f>
        <v>0.22900000000000001</v>
      </c>
      <c r="AG156" s="277">
        <f>'Inputs by customer type'!AG199</f>
        <v>3.8370000000000002</v>
      </c>
      <c r="AH156" s="277">
        <f>'Inputs by customer type'!AH199</f>
        <v>-0.75</v>
      </c>
      <c r="AI156" s="277">
        <f>'Inputs by customer type'!AI199</f>
        <v>-0.63500000000000001</v>
      </c>
      <c r="AJ156" s="277">
        <f>'Inputs by customer type'!AJ199</f>
        <v>-0.75</v>
      </c>
      <c r="AK156" s="277">
        <f>'Inputs by customer type'!AK199</f>
        <v>-0.75</v>
      </c>
      <c r="AL156" s="277">
        <f>'Inputs by customer type'!AL199</f>
        <v>-0.63500000000000001</v>
      </c>
      <c r="AM156" s="277">
        <f>'Inputs by customer type'!AM199</f>
        <v>-0.63500000000000001</v>
      </c>
      <c r="AN156" s="277">
        <f>'Inputs by customer type'!AN199</f>
        <v>-0.313</v>
      </c>
      <c r="AO156" s="277">
        <f>'Inputs by customer type'!AO199</f>
        <v>-0.313</v>
      </c>
      <c r="AP156" s="266"/>
      <c r="AQ156" s="266"/>
    </row>
    <row r="157" spans="2:43" x14ac:dyDescent="0.25">
      <c r="E157" s="89"/>
      <c r="F157" t="s">
        <v>158</v>
      </c>
      <c r="G157" t="s">
        <v>269</v>
      </c>
      <c r="H157" s="365"/>
      <c r="I157" s="266"/>
      <c r="J157" s="277">
        <f>'Inputs by customer type'!J200</f>
        <v>1.7000000000000001E-2</v>
      </c>
      <c r="K157" s="277">
        <f>'Inputs by customer type'!K200</f>
        <v>1.7000000000000001E-2</v>
      </c>
      <c r="L157" s="277">
        <f>'Inputs by customer type'!L200</f>
        <v>2.1000000000000001E-2</v>
      </c>
      <c r="M157" s="277">
        <f>'Inputs by customer type'!M200</f>
        <v>2.1000000000000001E-2</v>
      </c>
      <c r="N157" s="277">
        <f>'Inputs by customer type'!N200</f>
        <v>2.1000000000000001E-2</v>
      </c>
      <c r="O157" s="277">
        <f>'Inputs by customer type'!O200</f>
        <v>2.1000000000000001E-2</v>
      </c>
      <c r="P157" s="277">
        <f>'Inputs by customer type'!P200</f>
        <v>2.1000000000000001E-2</v>
      </c>
      <c r="Q157" s="277">
        <f>'Inputs by customer type'!Q200</f>
        <v>2.1000000000000001E-2</v>
      </c>
      <c r="R157" s="277">
        <f>'Inputs by customer type'!R200</f>
        <v>1.4E-2</v>
      </c>
      <c r="S157" s="277">
        <f>'Inputs by customer type'!S200</f>
        <v>1.4E-2</v>
      </c>
      <c r="T157" s="277">
        <f>'Inputs by customer type'!T200</f>
        <v>1.4E-2</v>
      </c>
      <c r="U157" s="277">
        <f>'Inputs by customer type'!U200</f>
        <v>1.4E-2</v>
      </c>
      <c r="V157" s="277">
        <f>'Inputs by customer type'!V200</f>
        <v>1.4E-2</v>
      </c>
      <c r="W157" s="277">
        <f>'Inputs by customer type'!W200</f>
        <v>6.0000000000000001E-3</v>
      </c>
      <c r="X157" s="277">
        <f>'Inputs by customer type'!X200</f>
        <v>6.0000000000000001E-3</v>
      </c>
      <c r="Y157" s="277">
        <f>'Inputs by customer type'!Y200</f>
        <v>6.0000000000000001E-3</v>
      </c>
      <c r="Z157" s="277">
        <f>'Inputs by customer type'!Z200</f>
        <v>6.0000000000000001E-3</v>
      </c>
      <c r="AA157" s="277">
        <f>'Inputs by customer type'!AA200</f>
        <v>6.0000000000000001E-3</v>
      </c>
      <c r="AB157" s="277">
        <f>'Inputs by customer type'!AB200</f>
        <v>3.0000000000000001E-3</v>
      </c>
      <c r="AC157" s="277">
        <f>'Inputs by customer type'!AC200</f>
        <v>3.0000000000000001E-3</v>
      </c>
      <c r="AD157" s="277">
        <f>'Inputs by customer type'!AD200</f>
        <v>3.0000000000000001E-3</v>
      </c>
      <c r="AE157" s="277">
        <f>'Inputs by customer type'!AE200</f>
        <v>3.0000000000000001E-3</v>
      </c>
      <c r="AF157" s="277">
        <f>'Inputs by customer type'!AF200</f>
        <v>3.0000000000000001E-3</v>
      </c>
      <c r="AG157" s="277">
        <f>'Inputs by customer type'!AG200</f>
        <v>2.9350000000000001</v>
      </c>
      <c r="AH157" s="277">
        <f>'Inputs by customer type'!AH200</f>
        <v>-1.2999999999999999E-2</v>
      </c>
      <c r="AI157" s="277">
        <f>'Inputs by customer type'!AI200</f>
        <v>-1.0999999999999999E-2</v>
      </c>
      <c r="AJ157" s="277">
        <f>'Inputs by customer type'!AJ200</f>
        <v>-1.2999999999999999E-2</v>
      </c>
      <c r="AK157" s="277">
        <f>'Inputs by customer type'!AK200</f>
        <v>-1.2999999999999999E-2</v>
      </c>
      <c r="AL157" s="277">
        <f>'Inputs by customer type'!AL200</f>
        <v>-1.0999999999999999E-2</v>
      </c>
      <c r="AM157" s="277">
        <f>'Inputs by customer type'!AM200</f>
        <v>-1.0999999999999999E-2</v>
      </c>
      <c r="AN157" s="277">
        <f>'Inputs by customer type'!AN200</f>
        <v>-5.0000000000000001E-3</v>
      </c>
      <c r="AO157" s="277">
        <f>'Inputs by customer type'!AO200</f>
        <v>-5.0000000000000001E-3</v>
      </c>
      <c r="AP157" s="266"/>
      <c r="AQ157" s="266"/>
    </row>
    <row r="158" spans="2:43" x14ac:dyDescent="0.25">
      <c r="E158" s="89"/>
      <c r="F158" t="s">
        <v>159</v>
      </c>
      <c r="G158" t="s">
        <v>270</v>
      </c>
      <c r="H158" s="365"/>
      <c r="J158" s="163">
        <f>'Inputs by customer type'!J201</f>
        <v>25.29</v>
      </c>
      <c r="K158" s="163">
        <f>'Inputs by customer type'!K201</f>
        <v>0</v>
      </c>
      <c r="L158" s="163">
        <f>'Inputs by customer type'!L201</f>
        <v>6.3</v>
      </c>
      <c r="M158" s="163">
        <f>'Inputs by customer type'!M201</f>
        <v>31.74</v>
      </c>
      <c r="N158" s="163">
        <f>'Inputs by customer type'!N201</f>
        <v>64.75</v>
      </c>
      <c r="O158" s="163">
        <f>'Inputs by customer type'!O201</f>
        <v>132.53</v>
      </c>
      <c r="P158" s="163">
        <f>'Inputs by customer type'!P201</f>
        <v>377.39</v>
      </c>
      <c r="Q158" s="163">
        <f>'Inputs by customer type'!Q201</f>
        <v>0</v>
      </c>
      <c r="R158" s="163">
        <f>'Inputs by customer type'!R201</f>
        <v>24.08</v>
      </c>
      <c r="S158" s="163">
        <f>'Inputs by customer type'!S201</f>
        <v>713.27</v>
      </c>
      <c r="T158" s="163">
        <f>'Inputs by customer type'!T201</f>
        <v>1228.42</v>
      </c>
      <c r="U158" s="163">
        <f>'Inputs by customer type'!U201</f>
        <v>2054.9299999999998</v>
      </c>
      <c r="V158" s="163">
        <f>'Inputs by customer type'!V201</f>
        <v>4446.13</v>
      </c>
      <c r="W158" s="163">
        <f>'Inputs by customer type'!W201</f>
        <v>8.6999999999999993</v>
      </c>
      <c r="X158" s="163">
        <f>'Inputs by customer type'!X201</f>
        <v>697.9</v>
      </c>
      <c r="Y158" s="163">
        <f>'Inputs by customer type'!Y201</f>
        <v>1213.05</v>
      </c>
      <c r="Z158" s="163">
        <f>'Inputs by customer type'!Z201</f>
        <v>2039.55</v>
      </c>
      <c r="AA158" s="163">
        <f>'Inputs by customer type'!AA201</f>
        <v>4430.75</v>
      </c>
      <c r="AB158" s="163">
        <f>'Inputs by customer type'!AB201</f>
        <v>127.31</v>
      </c>
      <c r="AC158" s="163">
        <f>'Inputs by customer type'!AC201</f>
        <v>3572.11</v>
      </c>
      <c r="AD158" s="163">
        <f>'Inputs by customer type'!AD201</f>
        <v>10572.74</v>
      </c>
      <c r="AE158" s="163">
        <f>'Inputs by customer type'!AE201</f>
        <v>21420.09</v>
      </c>
      <c r="AF158" s="163">
        <f>'Inputs by customer type'!AF201</f>
        <v>56602.14</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92.73</v>
      </c>
      <c r="AO158" s="163">
        <f>'Inputs by customer type'!AO201</f>
        <v>92.73</v>
      </c>
    </row>
    <row r="159" spans="2:43" x14ac:dyDescent="0.25">
      <c r="E159" s="89"/>
      <c r="F159" t="s">
        <v>160</v>
      </c>
      <c r="G159" t="s">
        <v>271</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2.94</v>
      </c>
      <c r="S159" s="163">
        <f>'Inputs by customer type'!S202</f>
        <v>2.94</v>
      </c>
      <c r="T159" s="163">
        <f>'Inputs by customer type'!T202</f>
        <v>2.94</v>
      </c>
      <c r="U159" s="163">
        <f>'Inputs by customer type'!U202</f>
        <v>2.94</v>
      </c>
      <c r="V159" s="163">
        <f>'Inputs by customer type'!V202</f>
        <v>2.94</v>
      </c>
      <c r="W159" s="163">
        <f>'Inputs by customer type'!W202</f>
        <v>5.42</v>
      </c>
      <c r="X159" s="163">
        <f>'Inputs by customer type'!X202</f>
        <v>5.42</v>
      </c>
      <c r="Y159" s="163">
        <f>'Inputs by customer type'!Y202</f>
        <v>5.42</v>
      </c>
      <c r="Z159" s="163">
        <f>'Inputs by customer type'!Z202</f>
        <v>5.42</v>
      </c>
      <c r="AA159" s="163">
        <f>'Inputs by customer type'!AA202</f>
        <v>5.42</v>
      </c>
      <c r="AB159" s="163">
        <f>'Inputs by customer type'!AB202</f>
        <v>5.97</v>
      </c>
      <c r="AC159" s="163">
        <f>'Inputs by customer type'!AC202</f>
        <v>5.97</v>
      </c>
      <c r="AD159" s="163">
        <f>'Inputs by customer type'!AD202</f>
        <v>5.97</v>
      </c>
      <c r="AE159" s="163">
        <f>'Inputs by customer type'!AE202</f>
        <v>5.97</v>
      </c>
      <c r="AF159" s="163">
        <f>'Inputs by customer type'!AF202</f>
        <v>5.97</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161</v>
      </c>
      <c r="G160" t="s">
        <v>271</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4.2699999999999996</v>
      </c>
      <c r="S160" s="163">
        <f>'Inputs by customer type'!S203</f>
        <v>4.2699999999999996</v>
      </c>
      <c r="T160" s="163">
        <f>'Inputs by customer type'!T203</f>
        <v>4.2699999999999996</v>
      </c>
      <c r="U160" s="163">
        <f>'Inputs by customer type'!U203</f>
        <v>4.2699999999999996</v>
      </c>
      <c r="V160" s="163">
        <f>'Inputs by customer type'!V203</f>
        <v>4.2699999999999996</v>
      </c>
      <c r="W160" s="163">
        <f>'Inputs by customer type'!W203</f>
        <v>6.18</v>
      </c>
      <c r="X160" s="163">
        <f>'Inputs by customer type'!X203</f>
        <v>6.18</v>
      </c>
      <c r="Y160" s="163">
        <f>'Inputs by customer type'!Y203</f>
        <v>6.18</v>
      </c>
      <c r="Z160" s="163">
        <f>'Inputs by customer type'!Z203</f>
        <v>6.18</v>
      </c>
      <c r="AA160" s="163">
        <f>'Inputs by customer type'!AA203</f>
        <v>6.18</v>
      </c>
      <c r="AB160" s="163">
        <f>'Inputs by customer type'!AB203</f>
        <v>7.35</v>
      </c>
      <c r="AC160" s="163">
        <f>'Inputs by customer type'!AC203</f>
        <v>7.35</v>
      </c>
      <c r="AD160" s="163">
        <f>'Inputs by customer type'!AD203</f>
        <v>7.35</v>
      </c>
      <c r="AE160" s="163">
        <f>'Inputs by customer type'!AE203</f>
        <v>7.35</v>
      </c>
      <c r="AF160" s="163">
        <f>'Inputs by customer type'!AF203</f>
        <v>7.35</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162</v>
      </c>
      <c r="G161" s="91" t="s">
        <v>272</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0.14899999999999999</v>
      </c>
      <c r="S161" s="314">
        <f>'Inputs by customer type'!S204</f>
        <v>0.14899999999999999</v>
      </c>
      <c r="T161" s="314">
        <f>'Inputs by customer type'!T204</f>
        <v>0.14899999999999999</v>
      </c>
      <c r="U161" s="314">
        <f>'Inputs by customer type'!U204</f>
        <v>0.14899999999999999</v>
      </c>
      <c r="V161" s="314">
        <f>'Inputs by customer type'!V204</f>
        <v>0.14899999999999999</v>
      </c>
      <c r="W161" s="314">
        <f>'Inputs by customer type'!W204</f>
        <v>7.4999999999999997E-2</v>
      </c>
      <c r="X161" s="314">
        <f>'Inputs by customer type'!X204</f>
        <v>7.4999999999999997E-2</v>
      </c>
      <c r="Y161" s="314">
        <f>'Inputs by customer type'!Y204</f>
        <v>7.4999999999999997E-2</v>
      </c>
      <c r="Z161" s="314">
        <f>'Inputs by customer type'!Z204</f>
        <v>7.4999999999999997E-2</v>
      </c>
      <c r="AA161" s="314">
        <f>'Inputs by customer type'!AA204</f>
        <v>7.4999999999999997E-2</v>
      </c>
      <c r="AB161" s="314">
        <f>'Inputs by customer type'!AB204</f>
        <v>4.8000000000000001E-2</v>
      </c>
      <c r="AC161" s="314">
        <f>'Inputs by customer type'!AC204</f>
        <v>4.8000000000000001E-2</v>
      </c>
      <c r="AD161" s="314">
        <f>'Inputs by customer type'!AD204</f>
        <v>4.8000000000000001E-2</v>
      </c>
      <c r="AE161" s="314">
        <f>'Inputs by customer type'!AE204</f>
        <v>4.8000000000000001E-2</v>
      </c>
      <c r="AF161" s="314">
        <f>'Inputs by customer type'!AF204</f>
        <v>4.8000000000000001E-2</v>
      </c>
      <c r="AG161" s="314">
        <f>'Inputs by customer type'!AG204</f>
        <v>0</v>
      </c>
      <c r="AH161" s="314">
        <f>'Inputs by customer type'!AH204</f>
        <v>0</v>
      </c>
      <c r="AI161" s="314">
        <f>'Inputs by customer type'!AI204</f>
        <v>0</v>
      </c>
      <c r="AJ161" s="314">
        <f>'Inputs by customer type'!AJ204</f>
        <v>0.13500000000000001</v>
      </c>
      <c r="AK161" s="314">
        <f>'Inputs by customer type'!AK204</f>
        <v>0</v>
      </c>
      <c r="AL161" s="314">
        <f>'Inputs by customer type'!AL204</f>
        <v>0.11700000000000001</v>
      </c>
      <c r="AM161" s="314">
        <f>'Inputs by customer type'!AM204</f>
        <v>0</v>
      </c>
      <c r="AN161" s="314">
        <f>'Inputs by customer type'!AN204</f>
        <v>9.6000000000000002E-2</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779</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780</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781</v>
      </c>
      <c r="F168" s="151"/>
      <c r="G168" s="151" t="s">
        <v>277</v>
      </c>
      <c r="H168" s="151"/>
      <c r="I168" s="151"/>
      <c r="J168" s="238">
        <f>'Inputs by customer type'!J213</f>
        <v>251880526.29875028</v>
      </c>
      <c r="K168" s="238">
        <f>'Inputs by customer type'!K213</f>
        <v>252542.72534267849</v>
      </c>
      <c r="L168" s="238">
        <f>'Inputs by customer type'!L213</f>
        <v>4176.224081105016</v>
      </c>
      <c r="M168" s="238">
        <f>'Inputs by customer type'!M213</f>
        <v>8063865.8930896092</v>
      </c>
      <c r="N168" s="238">
        <f>'Inputs by customer type'!N213</f>
        <v>13479068.454028413</v>
      </c>
      <c r="O168" s="238">
        <f>'Inputs by customer type'!O213</f>
        <v>16205215.45459928</v>
      </c>
      <c r="P168" s="238">
        <f>'Inputs by customer type'!P213</f>
        <v>48011460.990142033</v>
      </c>
      <c r="Q168" s="238">
        <f>'Inputs by customer type'!Q213</f>
        <v>169321.72396384823</v>
      </c>
      <c r="R168" s="238">
        <f>'Inputs by customer type'!R213</f>
        <v>14181.864725498284</v>
      </c>
      <c r="S168" s="238">
        <f>'Inputs by customer type'!S213</f>
        <v>19833340.264230125</v>
      </c>
      <c r="T168" s="238">
        <f>'Inputs by customer type'!T213</f>
        <v>28669813.030989077</v>
      </c>
      <c r="U168" s="238">
        <f>'Inputs by customer type'!U213</f>
        <v>16158771.296281604</v>
      </c>
      <c r="V168" s="238">
        <f>'Inputs by customer type'!V213</f>
        <v>42026745.17298311</v>
      </c>
      <c r="W168" s="238">
        <f>'Inputs by customer type'!W213</f>
        <v>310.91044345110066</v>
      </c>
      <c r="X168" s="238">
        <f>'Inputs by customer type'!X213</f>
        <v>49904.381317015817</v>
      </c>
      <c r="Y168" s="238">
        <f>'Inputs by customer type'!Y213</f>
        <v>208298.18252892178</v>
      </c>
      <c r="Z168" s="238">
        <f>'Inputs by customer type'!Z213</f>
        <v>586970.24369940802</v>
      </c>
      <c r="AA168" s="238">
        <f>'Inputs by customer type'!AA213</f>
        <v>6507336.4484012043</v>
      </c>
      <c r="AB168" s="238">
        <f>'Inputs by customer type'!AB213</f>
        <v>261620.78871062869</v>
      </c>
      <c r="AC168" s="238">
        <f>'Inputs by customer type'!AC213</f>
        <v>7037953.4757318543</v>
      </c>
      <c r="AD168" s="238">
        <f>'Inputs by customer type'!AD213</f>
        <v>23974269.010892484</v>
      </c>
      <c r="AE168" s="238">
        <f>'Inputs by customer type'!AE213</f>
        <v>21187483.919828035</v>
      </c>
      <c r="AF168" s="238">
        <f>'Inputs by customer type'!AF213</f>
        <v>65825213.014077909</v>
      </c>
      <c r="AG168" s="238">
        <f>'Inputs by customer type'!AG213</f>
        <v>9653103.2800067328</v>
      </c>
      <c r="AH168" s="238">
        <f>'Inputs by customer type'!AH213</f>
        <v>-106151.41367895291</v>
      </c>
      <c r="AI168" s="238">
        <f>'Inputs by customer type'!AI213</f>
        <v>-975.63568000000009</v>
      </c>
      <c r="AJ168" s="238">
        <f>'Inputs by customer type'!AJ213</f>
        <v>-576278.44961000001</v>
      </c>
      <c r="AK168" s="238">
        <f>'Inputs by customer type'!AK213</f>
        <v>0</v>
      </c>
      <c r="AL168" s="238">
        <f>'Inputs by customer type'!AL213</f>
        <v>-5403.6347100000003</v>
      </c>
      <c r="AM168" s="238">
        <f>'Inputs by customer type'!AM213</f>
        <v>0</v>
      </c>
      <c r="AN168" s="238">
        <f>'Inputs by customer type'!AN213</f>
        <v>-5419421.8276299983</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782</v>
      </c>
      <c r="G170" t="s">
        <v>277</v>
      </c>
      <c r="J170" s="141">
        <f t="shared" ref="J170:AO170" si="36">IF(J168 = 0, SUMPRODUCT(J25:J27, J158:J160) / hundred * days_in_year + ( SUMPRODUCT(J22:J24, J155:J157)  + J161*J28) * ten, J168)</f>
        <v>251880526.29875028</v>
      </c>
      <c r="K170" s="141">
        <f t="shared" si="36"/>
        <v>252542.72534267849</v>
      </c>
      <c r="L170" s="141">
        <f t="shared" si="36"/>
        <v>4176.224081105016</v>
      </c>
      <c r="M170" s="141">
        <f t="shared" si="36"/>
        <v>8063865.8930896092</v>
      </c>
      <c r="N170" s="141">
        <f t="shared" si="36"/>
        <v>13479068.454028413</v>
      </c>
      <c r="O170" s="141">
        <f t="shared" si="36"/>
        <v>16205215.45459928</v>
      </c>
      <c r="P170" s="141">
        <f t="shared" si="36"/>
        <v>48011460.990142033</v>
      </c>
      <c r="Q170" s="141">
        <f t="shared" si="36"/>
        <v>169321.72396384823</v>
      </c>
      <c r="R170" s="141">
        <f t="shared" si="36"/>
        <v>14181.864725498284</v>
      </c>
      <c r="S170" s="141">
        <f t="shared" si="36"/>
        <v>19833340.264230125</v>
      </c>
      <c r="T170" s="141">
        <f t="shared" si="36"/>
        <v>28669813.030989077</v>
      </c>
      <c r="U170" s="141">
        <f t="shared" si="36"/>
        <v>16158771.296281604</v>
      </c>
      <c r="V170" s="141">
        <f t="shared" si="36"/>
        <v>42026745.17298311</v>
      </c>
      <c r="W170" s="141">
        <f t="shared" si="36"/>
        <v>310.91044345110066</v>
      </c>
      <c r="X170" s="141">
        <f t="shared" si="36"/>
        <v>49904.381317015817</v>
      </c>
      <c r="Y170" s="141">
        <f t="shared" si="36"/>
        <v>208298.18252892178</v>
      </c>
      <c r="Z170" s="141">
        <f t="shared" si="36"/>
        <v>586970.24369940802</v>
      </c>
      <c r="AA170" s="141">
        <f t="shared" si="36"/>
        <v>6507336.4484012043</v>
      </c>
      <c r="AB170" s="141">
        <f t="shared" si="36"/>
        <v>261620.78871062869</v>
      </c>
      <c r="AC170" s="141">
        <f t="shared" si="36"/>
        <v>7037953.4757318543</v>
      </c>
      <c r="AD170" s="141">
        <f t="shared" si="36"/>
        <v>23974269.010892484</v>
      </c>
      <c r="AE170" s="141">
        <f t="shared" si="36"/>
        <v>21187483.919828035</v>
      </c>
      <c r="AF170" s="141">
        <f t="shared" si="36"/>
        <v>65825213.014077909</v>
      </c>
      <c r="AG170" s="141">
        <f t="shared" si="36"/>
        <v>9653103.2800067328</v>
      </c>
      <c r="AH170" s="141">
        <f t="shared" si="36"/>
        <v>-106151.41367895291</v>
      </c>
      <c r="AI170" s="141">
        <f t="shared" si="36"/>
        <v>-975.63568000000009</v>
      </c>
      <c r="AJ170" s="141">
        <f t="shared" si="36"/>
        <v>-576278.44961000001</v>
      </c>
      <c r="AK170" s="141">
        <f t="shared" si="36"/>
        <v>0</v>
      </c>
      <c r="AL170" s="141">
        <f t="shared" si="36"/>
        <v>-5403.6347100000003</v>
      </c>
      <c r="AM170" s="141">
        <f t="shared" si="36"/>
        <v>0</v>
      </c>
      <c r="AN170" s="141">
        <f t="shared" si="36"/>
        <v>-5419421.8276299983</v>
      </c>
      <c r="AO170" s="141">
        <f t="shared" si="36"/>
        <v>0</v>
      </c>
    </row>
    <row r="171" spans="2:43" x14ac:dyDescent="0.25">
      <c r="F171" s="3"/>
      <c r="G171" s="358"/>
      <c r="H171" s="3"/>
      <c r="I171" s="3"/>
    </row>
    <row r="172" spans="2:43" x14ac:dyDescent="0.25">
      <c r="E172" t="s">
        <v>783</v>
      </c>
      <c r="G172" s="46" t="s">
        <v>167</v>
      </c>
      <c r="J172" s="367">
        <f t="shared" ref="J172:AH172" si="37">IF( J170 &lt;&gt; 0, (J102 - J170) / J170, "-")</f>
        <v>-0.14477252442203259</v>
      </c>
      <c r="K172" s="367">
        <f t="shared" si="37"/>
        <v>0.26395101955437994</v>
      </c>
      <c r="L172" s="367">
        <f t="shared" si="37"/>
        <v>0.31577206859196344</v>
      </c>
      <c r="M172" s="367">
        <f t="shared" si="37"/>
        <v>-0.18638283768866429</v>
      </c>
      <c r="N172" s="367">
        <f t="shared" si="37"/>
        <v>-0.23844255221340263</v>
      </c>
      <c r="O172" s="367">
        <f t="shared" si="37"/>
        <v>-0.27021317598976158</v>
      </c>
      <c r="P172" s="367">
        <f t="shared" si="37"/>
        <v>-0.27489994673701745</v>
      </c>
      <c r="Q172" s="367">
        <f t="shared" si="37"/>
        <v>0.10931314720197181</v>
      </c>
      <c r="R172" s="367">
        <f t="shared" si="37"/>
        <v>0.64977192622530433</v>
      </c>
      <c r="S172" s="367">
        <f t="shared" si="37"/>
        <v>-0.13071453507452138</v>
      </c>
      <c r="T172" s="367">
        <f t="shared" si="37"/>
        <v>-0.10740602745122703</v>
      </c>
      <c r="U172" s="367">
        <f t="shared" si="37"/>
        <v>-0.12464277120459234</v>
      </c>
      <c r="V172" s="367">
        <f t="shared" si="37"/>
        <v>-0.15622197943052132</v>
      </c>
      <c r="W172" s="367">
        <f t="shared" si="37"/>
        <v>0.73346514936580898</v>
      </c>
      <c r="X172" s="367">
        <f t="shared" si="37"/>
        <v>-0.20562583401187182</v>
      </c>
      <c r="Y172" s="367">
        <f t="shared" si="37"/>
        <v>-0.21183239152635028</v>
      </c>
      <c r="Z172" s="367">
        <f t="shared" si="37"/>
        <v>-0.1582259515771943</v>
      </c>
      <c r="AA172" s="367">
        <f t="shared" si="37"/>
        <v>-0.14023985378839476</v>
      </c>
      <c r="AB172" s="367">
        <f t="shared" si="37"/>
        <v>1.3529876953034397</v>
      </c>
      <c r="AC172" s="367">
        <f t="shared" si="37"/>
        <v>-0.26320525117256194</v>
      </c>
      <c r="AD172" s="367">
        <f t="shared" si="37"/>
        <v>-0.2195846437428649</v>
      </c>
      <c r="AE172" s="367">
        <f t="shared" si="37"/>
        <v>-0.22930574178613564</v>
      </c>
      <c r="AF172" s="367">
        <f t="shared" si="37"/>
        <v>-0.26718973719033634</v>
      </c>
      <c r="AG172" s="367">
        <f t="shared" si="37"/>
        <v>-0.26380846555193438</v>
      </c>
      <c r="AH172" s="367">
        <f t="shared" si="37"/>
        <v>10.724326050086546</v>
      </c>
      <c r="AI172" s="367">
        <f>IF( AI170 &lt;&gt; 0, (AI102 - AI170) / AI170, "-")</f>
        <v>4.8786424003869442</v>
      </c>
      <c r="AJ172" s="367">
        <f t="shared" ref="AJ172:AO172" si="38">IF( AJ170 &lt;&gt; 0, (AJ102 - AJ170) / AJ170, "-")</f>
        <v>0.323994183204938</v>
      </c>
      <c r="AK172" s="367" t="str">
        <f t="shared" si="38"/>
        <v>-</v>
      </c>
      <c r="AL172" s="367">
        <f t="shared" si="38"/>
        <v>0.32742398680757556</v>
      </c>
      <c r="AM172" s="367" t="str">
        <f t="shared" si="38"/>
        <v>-</v>
      </c>
      <c r="AN172" s="367">
        <f t="shared" si="38"/>
        <v>0.28210234674029555</v>
      </c>
      <c r="AO172" s="367" t="str">
        <f t="shared" si="38"/>
        <v>-</v>
      </c>
    </row>
    <row r="173" spans="2:43" x14ac:dyDescent="0.25">
      <c r="C173" s="100"/>
      <c r="D173" s="2"/>
      <c r="E173" s="2"/>
      <c r="G173" s="46"/>
    </row>
    <row r="174" spans="2:43" x14ac:dyDescent="0.25">
      <c r="E174" t="s">
        <v>784</v>
      </c>
      <c r="G174" s="46" t="s">
        <v>269</v>
      </c>
      <c r="H174" s="266"/>
      <c r="I174" s="266"/>
      <c r="J174" s="267">
        <f t="shared" ref="J174:AO174" si="39" xml:space="preserve"> IF( SUM(J22:J24) = 0, "-", (J102 - J170) / SUM(J22:J24)/ ten)</f>
        <v>-0.66328877947032272</v>
      </c>
      <c r="K174" s="267">
        <f t="shared" si="39"/>
        <v>3.700491027286195E-2</v>
      </c>
      <c r="L174" s="267">
        <f t="shared" si="39"/>
        <v>0.72795596349304614</v>
      </c>
      <c r="M174" s="267">
        <f t="shared" si="39"/>
        <v>-0.86905533581574979</v>
      </c>
      <c r="N174" s="267">
        <f t="shared" si="39"/>
        <v>-1.0539210559613585</v>
      </c>
      <c r="O174" s="267">
        <f t="shared" si="39"/>
        <v>-1.1711786649019786</v>
      </c>
      <c r="P174" s="267">
        <f t="shared" si="39"/>
        <v>-1.1560353373514174</v>
      </c>
      <c r="Q174" s="267">
        <f t="shared" si="39"/>
        <v>4.4534480973005622E-2</v>
      </c>
      <c r="R174" s="267">
        <f t="shared" si="39"/>
        <v>7.6660801704818766</v>
      </c>
      <c r="S174" s="267">
        <f t="shared" si="39"/>
        <v>-0.54730201292799463</v>
      </c>
      <c r="T174" s="267">
        <f t="shared" si="39"/>
        <v>-0.45083692797061065</v>
      </c>
      <c r="U174" s="267">
        <f t="shared" si="39"/>
        <v>-0.52006050209665133</v>
      </c>
      <c r="V174" s="267">
        <f t="shared" si="39"/>
        <v>-0.69915761258321907</v>
      </c>
      <c r="W174" s="267">
        <f t="shared" si="39"/>
        <v>15.484024583895103</v>
      </c>
      <c r="X174" s="267">
        <f t="shared" si="39"/>
        <v>-0.79146844496529245</v>
      </c>
      <c r="Y174" s="267">
        <f t="shared" si="39"/>
        <v>-0.71541264103367008</v>
      </c>
      <c r="Z174" s="267">
        <f t="shared" si="39"/>
        <v>-0.43846224823413477</v>
      </c>
      <c r="AA174" s="267">
        <f t="shared" si="39"/>
        <v>-0.40086176355641107</v>
      </c>
      <c r="AB174" s="267">
        <f t="shared" si="39"/>
        <v>6.1334858473570035</v>
      </c>
      <c r="AC174" s="267">
        <f t="shared" si="39"/>
        <v>-1.0437046178065748</v>
      </c>
      <c r="AD174" s="267">
        <f t="shared" si="39"/>
        <v>-0.79616288617786268</v>
      </c>
      <c r="AE174" s="267">
        <f t="shared" si="39"/>
        <v>-0.83135894022377443</v>
      </c>
      <c r="AF174" s="267">
        <f t="shared" si="39"/>
        <v>-0.96887209582878653</v>
      </c>
      <c r="AG174" s="267">
        <f t="shared" si="39"/>
        <v>-1.2110501263572828</v>
      </c>
      <c r="AH174" s="267">
        <f t="shared" si="39"/>
        <v>-1.4072090099035808</v>
      </c>
      <c r="AI174" s="267">
        <f t="shared" si="39"/>
        <v>-0.98962006187209683</v>
      </c>
      <c r="AJ174" s="267">
        <f t="shared" si="39"/>
        <v>-0.29698527161253724</v>
      </c>
      <c r="AK174" s="267" t="str">
        <f t="shared" si="39"/>
        <v>-</v>
      </c>
      <c r="AL174" s="267">
        <f t="shared" si="39"/>
        <v>-0.25235299017419416</v>
      </c>
      <c r="AM174" s="267" t="str">
        <f t="shared" si="39"/>
        <v>-</v>
      </c>
      <c r="AN174" s="267">
        <f t="shared" si="39"/>
        <v>-0.14860806825178621</v>
      </c>
      <c r="AO174" s="267" t="str">
        <f t="shared" si="39"/>
        <v>-</v>
      </c>
      <c r="AP174" s="266"/>
      <c r="AQ174" s="266"/>
    </row>
    <row r="175" spans="2:43" x14ac:dyDescent="0.25">
      <c r="C175" s="100"/>
      <c r="D175" s="2"/>
      <c r="E175" s="2"/>
      <c r="G175" s="46"/>
    </row>
    <row r="176" spans="2:43" x14ac:dyDescent="0.25">
      <c r="B176" s="70" t="s">
        <v>785</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786</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787</v>
      </c>
    </row>
    <row r="182" spans="3:43" x14ac:dyDescent="0.25">
      <c r="E182" s="89"/>
      <c r="F182" s="90" t="s">
        <v>156</v>
      </c>
      <c r="G182" s="138" t="s">
        <v>788</v>
      </c>
      <c r="H182" s="368"/>
      <c r="I182" s="90"/>
      <c r="J182" s="169">
        <f t="shared" ref="J182:AO182" si="40" xml:space="preserve"> IF( J$25 &lt;&gt; 0, J$22 * thousand * J64 / hundred / J$25, 0)</f>
        <v>26.66716984181819</v>
      </c>
      <c r="K182" s="169">
        <f t="shared" si="40"/>
        <v>0.45611385821838307</v>
      </c>
      <c r="L182" s="169">
        <f t="shared" si="40"/>
        <v>23.731146000417162</v>
      </c>
      <c r="M182" s="169">
        <f t="shared" si="40"/>
        <v>29.67053081820977</v>
      </c>
      <c r="N182" s="169">
        <f t="shared" si="40"/>
        <v>63.509621650860332</v>
      </c>
      <c r="O182" s="169">
        <f t="shared" si="40"/>
        <v>137.62560989828023</v>
      </c>
      <c r="P182" s="169">
        <f t="shared" si="40"/>
        <v>402.5559439255187</v>
      </c>
      <c r="Q182" s="169">
        <f t="shared" si="40"/>
        <v>7.6099886172695452</v>
      </c>
      <c r="R182" s="169">
        <f t="shared" si="40"/>
        <v>29.333127750130917</v>
      </c>
      <c r="S182" s="169">
        <f t="shared" si="40"/>
        <v>626.00265171805745</v>
      </c>
      <c r="T182" s="169">
        <f t="shared" si="40"/>
        <v>1110.7229642787343</v>
      </c>
      <c r="U182" s="169">
        <f t="shared" si="40"/>
        <v>1768.3286724748898</v>
      </c>
      <c r="V182" s="169">
        <f t="shared" si="40"/>
        <v>3446.5762655873641</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423.60271243450882</v>
      </c>
      <c r="AH182" s="169">
        <f t="shared" si="40"/>
        <v>-54.699215177395985</v>
      </c>
      <c r="AI182" s="169">
        <f t="shared" si="40"/>
        <v>0</v>
      </c>
      <c r="AJ182" s="169">
        <f t="shared" si="40"/>
        <v>-924.37256812386147</v>
      </c>
      <c r="AK182" s="169">
        <f t="shared" si="40"/>
        <v>0</v>
      </c>
      <c r="AL182" s="169">
        <f t="shared" si="40"/>
        <v>0</v>
      </c>
      <c r="AM182" s="169">
        <f t="shared" si="40"/>
        <v>0</v>
      </c>
      <c r="AN182" s="169">
        <f t="shared" si="40"/>
        <v>0</v>
      </c>
      <c r="AO182" s="169">
        <f t="shared" si="40"/>
        <v>0</v>
      </c>
    </row>
    <row r="183" spans="3:43" x14ac:dyDescent="0.25">
      <c r="E183" s="89"/>
      <c r="F183" t="s">
        <v>157</v>
      </c>
      <c r="G183" s="46" t="s">
        <v>788</v>
      </c>
      <c r="H183" s="146"/>
      <c r="J183" s="141">
        <f t="shared" ref="J183:AO183" si="41" xml:space="preserve"> IF( J$25 &lt;&gt; 0, J$23 * thousand * J65 / hundred / J$25, 0)</f>
        <v>10.117940481381186</v>
      </c>
      <c r="K183" s="141">
        <f t="shared" si="41"/>
        <v>1.3840579675665723</v>
      </c>
      <c r="L183" s="141">
        <f t="shared" si="41"/>
        <v>13.423373588681061</v>
      </c>
      <c r="M183" s="141">
        <f t="shared" si="41"/>
        <v>16.782949282782347</v>
      </c>
      <c r="N183" s="141">
        <f t="shared" si="41"/>
        <v>35.923818339000547</v>
      </c>
      <c r="O183" s="141">
        <f t="shared" si="41"/>
        <v>77.847061284028285</v>
      </c>
      <c r="P183" s="141">
        <f t="shared" si="41"/>
        <v>227.70323968178332</v>
      </c>
      <c r="Q183" s="141">
        <f t="shared" si="41"/>
        <v>13.1296381621937</v>
      </c>
      <c r="R183" s="141">
        <f t="shared" si="41"/>
        <v>12.244893937811398</v>
      </c>
      <c r="S183" s="141">
        <f t="shared" si="41"/>
        <v>306.6585503351763</v>
      </c>
      <c r="T183" s="141">
        <f t="shared" si="41"/>
        <v>528.33618179916277</v>
      </c>
      <c r="U183" s="141">
        <f t="shared" si="41"/>
        <v>878.98249550613525</v>
      </c>
      <c r="V183" s="141">
        <f t="shared" si="41"/>
        <v>1745.6148157183925</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199.08869799610241</v>
      </c>
      <c r="AH183" s="141">
        <f t="shared" si="41"/>
        <v>-32.944735649687281</v>
      </c>
      <c r="AI183" s="141">
        <f t="shared" si="41"/>
        <v>0</v>
      </c>
      <c r="AJ183" s="141">
        <f t="shared" si="41"/>
        <v>-477.2076839344262</v>
      </c>
      <c r="AK183" s="141">
        <f t="shared" si="41"/>
        <v>0</v>
      </c>
      <c r="AL183" s="141">
        <f t="shared" si="41"/>
        <v>0</v>
      </c>
      <c r="AM183" s="141">
        <f t="shared" si="41"/>
        <v>0</v>
      </c>
      <c r="AN183" s="141">
        <f t="shared" si="41"/>
        <v>0</v>
      </c>
      <c r="AO183" s="141">
        <f t="shared" si="41"/>
        <v>0</v>
      </c>
    </row>
    <row r="184" spans="3:43" x14ac:dyDescent="0.25">
      <c r="E184" s="89"/>
      <c r="F184" t="s">
        <v>158</v>
      </c>
      <c r="G184" s="46" t="s">
        <v>788</v>
      </c>
      <c r="H184" s="146"/>
      <c r="J184" s="141">
        <f t="shared" ref="J184:AO184" si="42" xml:space="preserve"> IF( J$25 &lt;&gt; 0, J$24 * thousand * J66 / hundred / J$25, 0)</f>
        <v>0.20182088074131244</v>
      </c>
      <c r="K184" s="141">
        <f t="shared" si="42"/>
        <v>0.28969489089476663</v>
      </c>
      <c r="L184" s="141">
        <f t="shared" si="42"/>
        <v>0.22630036176538165</v>
      </c>
      <c r="M184" s="141">
        <f t="shared" si="42"/>
        <v>0.28293837380688419</v>
      </c>
      <c r="N184" s="141">
        <f t="shared" si="42"/>
        <v>0.60562816287589161</v>
      </c>
      <c r="O184" s="141">
        <f t="shared" si="42"/>
        <v>1.3123987062240745</v>
      </c>
      <c r="P184" s="141">
        <f t="shared" si="42"/>
        <v>3.838776085215108</v>
      </c>
      <c r="Q184" s="141">
        <f t="shared" si="42"/>
        <v>1.1703249941656941</v>
      </c>
      <c r="R184" s="141">
        <f t="shared" si="42"/>
        <v>0.32984146871127573</v>
      </c>
      <c r="S184" s="141">
        <f t="shared" si="42"/>
        <v>5.6662082290422982</v>
      </c>
      <c r="T184" s="141">
        <f t="shared" si="42"/>
        <v>9.777511161295422</v>
      </c>
      <c r="U184" s="141">
        <f t="shared" si="42"/>
        <v>16.784770409574953</v>
      </c>
      <c r="V184" s="141">
        <f t="shared" si="42"/>
        <v>32.952960127713617</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255.16829122249172</v>
      </c>
      <c r="AH184" s="141">
        <f t="shared" si="42"/>
        <v>-0.3048200516944628</v>
      </c>
      <c r="AI184" s="141">
        <f t="shared" si="42"/>
        <v>0</v>
      </c>
      <c r="AJ184" s="141">
        <f t="shared" si="42"/>
        <v>-10.150641329690348</v>
      </c>
      <c r="AK184" s="141">
        <f t="shared" si="42"/>
        <v>0</v>
      </c>
      <c r="AL184" s="141">
        <f t="shared" si="42"/>
        <v>0</v>
      </c>
      <c r="AM184" s="141">
        <f t="shared" si="42"/>
        <v>0</v>
      </c>
      <c r="AN184" s="141">
        <f t="shared" si="42"/>
        <v>0</v>
      </c>
      <c r="AO184" s="141">
        <f t="shared" si="42"/>
        <v>0</v>
      </c>
    </row>
    <row r="185" spans="3:43" x14ac:dyDescent="0.25">
      <c r="E185" s="89"/>
      <c r="F185" s="90" t="s">
        <v>159</v>
      </c>
      <c r="G185" s="138" t="s">
        <v>788</v>
      </c>
      <c r="H185" s="368"/>
      <c r="I185" s="90"/>
      <c r="J185" s="169">
        <f t="shared" ref="J185:AO185" si="43" xml:space="preserve"> IF( J$25 &lt;&gt; 0, J$25 * J67 * days_in_year / hundred / J$25, 0)</f>
        <v>32.631</v>
      </c>
      <c r="K185" s="169">
        <f t="shared" si="43"/>
        <v>0</v>
      </c>
      <c r="L185" s="169">
        <f t="shared" si="43"/>
        <v>18.542000000000002</v>
      </c>
      <c r="M185" s="169">
        <f t="shared" si="43"/>
        <v>40.661000000000001</v>
      </c>
      <c r="N185" s="169">
        <f t="shared" si="43"/>
        <v>65.882499999999993</v>
      </c>
      <c r="O185" s="169">
        <f t="shared" si="43"/>
        <v>121.03399999999998</v>
      </c>
      <c r="P185" s="169">
        <f t="shared" si="43"/>
        <v>318.42599999999993</v>
      </c>
      <c r="Q185" s="169">
        <f t="shared" si="43"/>
        <v>0</v>
      </c>
      <c r="R185" s="169">
        <f t="shared" si="43"/>
        <v>61.611999999999995</v>
      </c>
      <c r="S185" s="169">
        <f t="shared" si="43"/>
        <v>648.71449999999993</v>
      </c>
      <c r="T185" s="169">
        <f t="shared" si="43"/>
        <v>1073.5015000000003</v>
      </c>
      <c r="U185" s="169">
        <f t="shared" si="43"/>
        <v>1792.1865</v>
      </c>
      <c r="V185" s="169">
        <f t="shared" si="43"/>
        <v>3718.7660000000005</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25">
      <c r="E186" s="89"/>
      <c r="F186" t="s">
        <v>160</v>
      </c>
      <c r="G186" s="46" t="s">
        <v>788</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466.17799999999994</v>
      </c>
      <c r="S186" s="141">
        <f t="shared" si="44"/>
        <v>630.19143302692055</v>
      </c>
      <c r="T186" s="141">
        <f t="shared" si="44"/>
        <v>1264.1925598425196</v>
      </c>
      <c r="U186" s="141">
        <f t="shared" si="44"/>
        <v>2089.4056596736596</v>
      </c>
      <c r="V186" s="141">
        <f t="shared" si="44"/>
        <v>4412.6953018331224</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25">
      <c r="E187" s="89"/>
      <c r="F187" t="s">
        <v>161</v>
      </c>
      <c r="G187" s="46" t="s">
        <v>788</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11.082692708333331</v>
      </c>
      <c r="S187" s="141">
        <f t="shared" si="45"/>
        <v>31.175503583935214</v>
      </c>
      <c r="T187" s="141">
        <f t="shared" si="45"/>
        <v>19.644867618110233</v>
      </c>
      <c r="U187" s="141">
        <f t="shared" si="45"/>
        <v>10.613941919191918</v>
      </c>
      <c r="V187" s="141">
        <f t="shared" si="45"/>
        <v>12.138170749051834</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25">
      <c r="E188" s="89"/>
      <c r="F188" s="90" t="s">
        <v>162</v>
      </c>
      <c r="G188" s="138" t="s">
        <v>788</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3.2134875000000007</v>
      </c>
      <c r="S188" s="169">
        <f t="shared" si="46"/>
        <v>13.739791915079886</v>
      </c>
      <c r="T188" s="169">
        <f t="shared" si="46"/>
        <v>20.227333763779527</v>
      </c>
      <c r="U188" s="169">
        <f t="shared" si="46"/>
        <v>32.013399627039625</v>
      </c>
      <c r="V188" s="169">
        <f t="shared" si="46"/>
        <v>68.115872718078393</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21.950720000000004</v>
      </c>
      <c r="AK188" s="169">
        <f t="shared" si="46"/>
        <v>0</v>
      </c>
      <c r="AL188" s="169">
        <f t="shared" si="46"/>
        <v>0</v>
      </c>
      <c r="AM188" s="169">
        <f t="shared" si="46"/>
        <v>0</v>
      </c>
      <c r="AN188" s="169">
        <f t="shared" si="46"/>
        <v>0</v>
      </c>
      <c r="AO188" s="169">
        <f t="shared" si="46"/>
        <v>0</v>
      </c>
    </row>
    <row r="189" spans="3:43" x14ac:dyDescent="0.25">
      <c r="E189" s="89"/>
      <c r="F189" s="151" t="s">
        <v>100</v>
      </c>
      <c r="G189" s="360" t="s">
        <v>788</v>
      </c>
      <c r="H189" s="369"/>
      <c r="I189" s="151"/>
      <c r="J189" s="216">
        <f t="shared" ref="J189" si="47">SUM(J182:J188)</f>
        <v>69.617931203940685</v>
      </c>
      <c r="K189" s="216">
        <f t="shared" ref="K189:AO189" si="48">SUM(K182:K188)</f>
        <v>2.129866716679722</v>
      </c>
      <c r="L189" s="216">
        <f t="shared" si="48"/>
        <v>55.922819950863605</v>
      </c>
      <c r="M189" s="216">
        <f t="shared" si="48"/>
        <v>87.397418474798997</v>
      </c>
      <c r="N189" s="216">
        <f t="shared" si="48"/>
        <v>165.92156815273677</v>
      </c>
      <c r="O189" s="216">
        <f t="shared" si="48"/>
        <v>337.81906988853257</v>
      </c>
      <c r="P189" s="216">
        <f t="shared" si="48"/>
        <v>952.52395969251711</v>
      </c>
      <c r="Q189" s="216">
        <f t="shared" si="48"/>
        <v>21.909951773628936</v>
      </c>
      <c r="R189" s="216">
        <f t="shared" si="48"/>
        <v>583.99404336498685</v>
      </c>
      <c r="S189" s="216">
        <f t="shared" si="48"/>
        <v>2262.1486388082117</v>
      </c>
      <c r="T189" s="216">
        <f t="shared" si="48"/>
        <v>4026.402918463602</v>
      </c>
      <c r="U189" s="216">
        <f t="shared" si="48"/>
        <v>6588.3154396104919</v>
      </c>
      <c r="V189" s="216">
        <f t="shared" si="48"/>
        <v>13436.859386733726</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877.85970165310289</v>
      </c>
      <c r="AH189" s="216">
        <f t="shared" si="48"/>
        <v>-87.948770878777736</v>
      </c>
      <c r="AI189" s="216">
        <f t="shared" si="48"/>
        <v>0</v>
      </c>
      <c r="AJ189" s="216">
        <f t="shared" si="48"/>
        <v>-1389.780173387978</v>
      </c>
      <c r="AK189" s="216">
        <f t="shared" si="48"/>
        <v>0</v>
      </c>
      <c r="AL189" s="216">
        <f t="shared" si="48"/>
        <v>0</v>
      </c>
      <c r="AM189" s="216">
        <f t="shared" si="48"/>
        <v>0</v>
      </c>
      <c r="AN189" s="216">
        <f t="shared" si="48"/>
        <v>0</v>
      </c>
      <c r="AO189" s="216">
        <f t="shared" si="48"/>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789</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790</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156</v>
      </c>
      <c r="G193" s="138" t="s">
        <v>788</v>
      </c>
      <c r="H193" s="368"/>
      <c r="I193" s="90"/>
      <c r="J193" s="169">
        <f t="shared" ref="J193:AO193" si="49" xml:space="preserve"> IF( J$25 &lt;&gt; 0, J$22 * thousand * J73 / hundred / J$25,0)</f>
        <v>17.594053907834098</v>
      </c>
      <c r="K193" s="169">
        <f t="shared" si="49"/>
        <v>0.30092776463365739</v>
      </c>
      <c r="L193" s="169">
        <f t="shared" si="49"/>
        <v>15.658629982248339</v>
      </c>
      <c r="M193" s="169">
        <f t="shared" si="49"/>
        <v>19.577641275776394</v>
      </c>
      <c r="N193" s="169">
        <f t="shared" si="49"/>
        <v>41.905842462303703</v>
      </c>
      <c r="O193" s="169">
        <f t="shared" si="49"/>
        <v>90.81013202820219</v>
      </c>
      <c r="P193" s="169">
        <f t="shared" si="49"/>
        <v>265.6203190934649</v>
      </c>
      <c r="Q193" s="169">
        <f t="shared" si="49"/>
        <v>5.0213333955659278</v>
      </c>
      <c r="R193" s="169">
        <f t="shared" si="49"/>
        <v>19.351006460016681</v>
      </c>
      <c r="S193" s="169">
        <f t="shared" si="49"/>
        <v>412.97271332852108</v>
      </c>
      <c r="T193" s="169">
        <f t="shared" si="49"/>
        <v>732.74174646959466</v>
      </c>
      <c r="U193" s="169">
        <f t="shared" si="49"/>
        <v>1166.5629337581154</v>
      </c>
      <c r="V193" s="169">
        <f t="shared" si="49"/>
        <v>2273.6995573212807</v>
      </c>
      <c r="W193" s="169">
        <f t="shared" si="49"/>
        <v>5.2074760976025116</v>
      </c>
      <c r="X193" s="169">
        <f t="shared" si="49"/>
        <v>495.11605881379546</v>
      </c>
      <c r="Y193" s="169">
        <f t="shared" si="49"/>
        <v>1014.0679208953276</v>
      </c>
      <c r="Z193" s="169">
        <f t="shared" si="49"/>
        <v>1708.1330963154051</v>
      </c>
      <c r="AA193" s="169">
        <f t="shared" si="49"/>
        <v>3812.1028688907286</v>
      </c>
      <c r="AB193" s="169">
        <f t="shared" si="49"/>
        <v>101.18545845005497</v>
      </c>
      <c r="AC193" s="169">
        <f t="shared" si="49"/>
        <v>1409.3060630464186</v>
      </c>
      <c r="AD193" s="169">
        <f t="shared" si="49"/>
        <v>4665.8095177933183</v>
      </c>
      <c r="AE193" s="169">
        <f t="shared" si="49"/>
        <v>9187.6856691382782</v>
      </c>
      <c r="AF193" s="169">
        <f t="shared" si="49"/>
        <v>24105.811133888372</v>
      </c>
      <c r="AG193" s="169">
        <f t="shared" si="49"/>
        <v>279.49243918184345</v>
      </c>
      <c r="AH193" s="169">
        <f t="shared" si="49"/>
        <v>-54.699215177395985</v>
      </c>
      <c r="AI193" s="169">
        <f t="shared" si="49"/>
        <v>-557.80394950019104</v>
      </c>
      <c r="AJ193" s="169">
        <f t="shared" si="49"/>
        <v>-924.37256812386147</v>
      </c>
      <c r="AK193" s="169">
        <f t="shared" si="49"/>
        <v>0</v>
      </c>
      <c r="AL193" s="169">
        <f t="shared" si="49"/>
        <v>-537.61242333333314</v>
      </c>
      <c r="AM193" s="169">
        <f t="shared" si="49"/>
        <v>0</v>
      </c>
      <c r="AN193" s="169">
        <f t="shared" si="49"/>
        <v>-20568.463412965786</v>
      </c>
      <c r="AO193" s="169">
        <f t="shared" si="49"/>
        <v>0</v>
      </c>
    </row>
    <row r="194" spans="3:43" x14ac:dyDescent="0.25">
      <c r="C194" s="100"/>
      <c r="F194" t="s">
        <v>157</v>
      </c>
      <c r="G194" s="46" t="s">
        <v>788</v>
      </c>
      <c r="H194" s="146"/>
      <c r="J194" s="141">
        <f t="shared" ref="J194:AO194" si="50" xml:space="preserve"> IF( J$25 &lt;&gt; 0, J$23 * thousand * J74 / hundred / J$25, 0)</f>
        <v>6.670735792015944</v>
      </c>
      <c r="K194" s="141">
        <f t="shared" si="50"/>
        <v>0.91250635833062688</v>
      </c>
      <c r="L194" s="141">
        <f t="shared" si="50"/>
        <v>8.847569001826022</v>
      </c>
      <c r="M194" s="141">
        <f t="shared" si="50"/>
        <v>11.061921271324266</v>
      </c>
      <c r="N194" s="141">
        <f t="shared" si="50"/>
        <v>23.67798671947714</v>
      </c>
      <c r="O194" s="141">
        <f t="shared" si="50"/>
        <v>51.310294073957479</v>
      </c>
      <c r="P194" s="141">
        <f t="shared" si="50"/>
        <v>150.08299603034865</v>
      </c>
      <c r="Q194" s="141">
        <f t="shared" si="50"/>
        <v>8.6539630921820301</v>
      </c>
      <c r="R194" s="141">
        <f t="shared" si="50"/>
        <v>8.077263910355331</v>
      </c>
      <c r="S194" s="141">
        <f t="shared" si="50"/>
        <v>202.28529981591049</v>
      </c>
      <c r="T194" s="141">
        <f t="shared" si="50"/>
        <v>348.51349431484482</v>
      </c>
      <c r="U194" s="141">
        <f t="shared" si="50"/>
        <v>579.81503350242633</v>
      </c>
      <c r="V194" s="141">
        <f t="shared" si="50"/>
        <v>1151.4833549390371</v>
      </c>
      <c r="W194" s="141">
        <f t="shared" si="50"/>
        <v>1.6516337810706871</v>
      </c>
      <c r="X194" s="141">
        <f t="shared" si="50"/>
        <v>190.1674440309674</v>
      </c>
      <c r="Y194" s="141">
        <f t="shared" si="50"/>
        <v>356.18023009340862</v>
      </c>
      <c r="Z194" s="141">
        <f t="shared" si="50"/>
        <v>651.7532307851028</v>
      </c>
      <c r="AA194" s="141">
        <f t="shared" si="50"/>
        <v>1475.0134549217694</v>
      </c>
      <c r="AB194" s="141">
        <f t="shared" si="50"/>
        <v>33.858987606895951</v>
      </c>
      <c r="AC194" s="141">
        <f t="shared" si="50"/>
        <v>491.93924155699426</v>
      </c>
      <c r="AD194" s="141">
        <f t="shared" si="50"/>
        <v>1619.8736993854739</v>
      </c>
      <c r="AE194" s="141">
        <f t="shared" si="50"/>
        <v>3116.0797033263202</v>
      </c>
      <c r="AF194" s="141">
        <f t="shared" si="50"/>
        <v>8077.3309852338798</v>
      </c>
      <c r="AG194" s="141">
        <f t="shared" si="50"/>
        <v>131.38597987629223</v>
      </c>
      <c r="AH194" s="141">
        <f t="shared" si="50"/>
        <v>-32.944735649687281</v>
      </c>
      <c r="AI194" s="141">
        <f t="shared" si="50"/>
        <v>-256.9357952804163</v>
      </c>
      <c r="AJ194" s="141">
        <f t="shared" si="50"/>
        <v>-477.2076839344262</v>
      </c>
      <c r="AK194" s="141">
        <f t="shared" si="50"/>
        <v>0</v>
      </c>
      <c r="AL194" s="141">
        <f t="shared" si="50"/>
        <v>-287.20506888888889</v>
      </c>
      <c r="AM194" s="141">
        <f t="shared" si="50"/>
        <v>0</v>
      </c>
      <c r="AN194" s="141">
        <f t="shared" si="50"/>
        <v>-6206.0312515209125</v>
      </c>
      <c r="AO194" s="141">
        <f t="shared" si="50"/>
        <v>0</v>
      </c>
    </row>
    <row r="195" spans="3:43" x14ac:dyDescent="0.25">
      <c r="C195" s="100"/>
      <c r="F195" t="s">
        <v>158</v>
      </c>
      <c r="G195" s="46" t="s">
        <v>788</v>
      </c>
      <c r="H195" s="146"/>
      <c r="J195" s="141">
        <f t="shared" ref="J195:AO195" si="51" xml:space="preserve"> IF( J$25 &lt;&gt; 0, J$24 * thousand * J75 / hundred / J$25, 0)</f>
        <v>0.12613805046332024</v>
      </c>
      <c r="K195" s="141">
        <f t="shared" si="51"/>
        <v>0.18105930680922916</v>
      </c>
      <c r="L195" s="141">
        <f t="shared" si="51"/>
        <v>0.15086690784358778</v>
      </c>
      <c r="M195" s="141">
        <f t="shared" si="51"/>
        <v>0.1886255825379228</v>
      </c>
      <c r="N195" s="141">
        <f t="shared" si="51"/>
        <v>0.40375210858392779</v>
      </c>
      <c r="O195" s="141">
        <f t="shared" si="51"/>
        <v>0.87493247081604975</v>
      </c>
      <c r="P195" s="141">
        <f t="shared" si="51"/>
        <v>2.5591840568100728</v>
      </c>
      <c r="Q195" s="141">
        <f t="shared" si="51"/>
        <v>0.78021666277712953</v>
      </c>
      <c r="R195" s="141">
        <f t="shared" si="51"/>
        <v>0.20297936536078506</v>
      </c>
      <c r="S195" s="141">
        <f t="shared" si="51"/>
        <v>3.4868973717183374</v>
      </c>
      <c r="T195" s="141">
        <f t="shared" si="51"/>
        <v>6.016929945412568</v>
      </c>
      <c r="U195" s="141">
        <f t="shared" si="51"/>
        <v>10.329089482815354</v>
      </c>
      <c r="V195" s="141">
        <f t="shared" si="51"/>
        <v>20.278744693977615</v>
      </c>
      <c r="W195" s="141">
        <f t="shared" si="51"/>
        <v>5.4537702710685511E-2</v>
      </c>
      <c r="X195" s="141">
        <f t="shared" si="51"/>
        <v>4.6944780710278913</v>
      </c>
      <c r="Y195" s="141">
        <f t="shared" si="51"/>
        <v>8.5096358302522646</v>
      </c>
      <c r="Z195" s="141">
        <f t="shared" si="51"/>
        <v>16.809547526173123</v>
      </c>
      <c r="AA195" s="141">
        <f t="shared" si="51"/>
        <v>34.865210352358311</v>
      </c>
      <c r="AB195" s="141">
        <f t="shared" si="51"/>
        <v>1.0002158166828525</v>
      </c>
      <c r="AC195" s="141">
        <f t="shared" si="51"/>
        <v>11.807535003197595</v>
      </c>
      <c r="AD195" s="141">
        <f t="shared" si="51"/>
        <v>37.31441742166357</v>
      </c>
      <c r="AE195" s="141">
        <f t="shared" si="51"/>
        <v>75.158286871917895</v>
      </c>
      <c r="AF195" s="141">
        <f t="shared" si="51"/>
        <v>216.30191316007841</v>
      </c>
      <c r="AG195" s="141">
        <f t="shared" si="51"/>
        <v>168.20510676998333</v>
      </c>
      <c r="AH195" s="141">
        <f t="shared" si="51"/>
        <v>-0.3048200516944628</v>
      </c>
      <c r="AI195" s="141">
        <f t="shared" si="51"/>
        <v>-4.6050089020139024</v>
      </c>
      <c r="AJ195" s="141">
        <f t="shared" si="51"/>
        <v>-10.150641329690348</v>
      </c>
      <c r="AK195" s="141">
        <f t="shared" si="51"/>
        <v>0</v>
      </c>
      <c r="AL195" s="141">
        <f t="shared" si="51"/>
        <v>-5.5064888888888888</v>
      </c>
      <c r="AM195" s="141">
        <f t="shared" si="51"/>
        <v>0</v>
      </c>
      <c r="AN195" s="141">
        <f t="shared" si="51"/>
        <v>-149.53579437262357</v>
      </c>
      <c r="AO195" s="141">
        <f t="shared" si="51"/>
        <v>0</v>
      </c>
    </row>
    <row r="196" spans="3:43" x14ac:dyDescent="0.25">
      <c r="C196" s="100"/>
      <c r="F196" s="90" t="s">
        <v>159</v>
      </c>
      <c r="G196" s="138" t="s">
        <v>788</v>
      </c>
      <c r="H196" s="368"/>
      <c r="I196" s="90"/>
      <c r="J196" s="169">
        <f t="shared" ref="J196:AO196" si="52" xml:space="preserve"> IF( J$25 &lt;&gt; 0, J$25 * J76 * days_in_year / hundred / J$25, 0)</f>
        <v>21.681000000000001</v>
      </c>
      <c r="K196" s="169">
        <f t="shared" si="52"/>
        <v>0</v>
      </c>
      <c r="L196" s="169">
        <f t="shared" si="52"/>
        <v>12.263999999999998</v>
      </c>
      <c r="M196" s="169">
        <f t="shared" si="52"/>
        <v>26.863999999999997</v>
      </c>
      <c r="N196" s="169">
        <f t="shared" si="52"/>
        <v>43.507999999999996</v>
      </c>
      <c r="O196" s="169">
        <f t="shared" si="52"/>
        <v>79.898499999999999</v>
      </c>
      <c r="P196" s="169">
        <f t="shared" si="52"/>
        <v>210.13049999999998</v>
      </c>
      <c r="Q196" s="169">
        <f t="shared" si="52"/>
        <v>0</v>
      </c>
      <c r="R196" s="169">
        <f t="shared" si="52"/>
        <v>40.697500000000005</v>
      </c>
      <c r="S196" s="169">
        <f t="shared" si="52"/>
        <v>428.03549999999996</v>
      </c>
      <c r="T196" s="169">
        <f t="shared" si="52"/>
        <v>708.31900000000007</v>
      </c>
      <c r="U196" s="169">
        <f t="shared" si="52"/>
        <v>1182.527</v>
      </c>
      <c r="V196" s="169">
        <f t="shared" si="52"/>
        <v>2453.6395000000002</v>
      </c>
      <c r="W196" s="169">
        <f t="shared" si="52"/>
        <v>24.0535</v>
      </c>
      <c r="X196" s="169">
        <f t="shared" si="52"/>
        <v>671.19849999999997</v>
      </c>
      <c r="Y196" s="169">
        <f t="shared" si="52"/>
        <v>1139.4570000000001</v>
      </c>
      <c r="Z196" s="169">
        <f t="shared" si="52"/>
        <v>1931.7259999999999</v>
      </c>
      <c r="AA196" s="169">
        <f t="shared" si="52"/>
        <v>4055.4055000000003</v>
      </c>
      <c r="AB196" s="169">
        <f t="shared" si="52"/>
        <v>416.28249999999991</v>
      </c>
      <c r="AC196" s="169">
        <f t="shared" si="52"/>
        <v>4150.0135</v>
      </c>
      <c r="AD196" s="169">
        <f t="shared" si="52"/>
        <v>12253.998999999998</v>
      </c>
      <c r="AE196" s="169">
        <f t="shared" si="52"/>
        <v>23499.685500000003</v>
      </c>
      <c r="AF196" s="169">
        <f t="shared" si="52"/>
        <v>62520.156499999997</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25">
      <c r="C197" s="100"/>
      <c r="F197" t="s">
        <v>160</v>
      </c>
      <c r="G197" s="46" t="s">
        <v>788</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307.76800000000003</v>
      </c>
      <c r="S197" s="141">
        <f t="shared" si="53"/>
        <v>416.04871306631651</v>
      </c>
      <c r="T197" s="141">
        <f t="shared" si="53"/>
        <v>834.61256377952759</v>
      </c>
      <c r="U197" s="141">
        <f t="shared" si="53"/>
        <v>1379.4134452214453</v>
      </c>
      <c r="V197" s="141">
        <f t="shared" si="53"/>
        <v>2913.2357332490515</v>
      </c>
      <c r="W197" s="141">
        <f t="shared" si="53"/>
        <v>140.452</v>
      </c>
      <c r="X197" s="141">
        <f t="shared" si="53"/>
        <v>889.52933333333328</v>
      </c>
      <c r="Y197" s="141">
        <f t="shared" si="53"/>
        <v>1999.9143478260869</v>
      </c>
      <c r="Z197" s="141">
        <f t="shared" si="53"/>
        <v>3407.6330476190474</v>
      </c>
      <c r="AA197" s="141">
        <f t="shared" si="53"/>
        <v>8316.2101874999989</v>
      </c>
      <c r="AB197" s="141">
        <f t="shared" si="53"/>
        <v>2389.529222972973</v>
      </c>
      <c r="AC197" s="141">
        <f t="shared" si="53"/>
        <v>4933.4230689655178</v>
      </c>
      <c r="AD197" s="141">
        <f t="shared" si="53"/>
        <v>16707.806369077305</v>
      </c>
      <c r="AE197" s="141">
        <f t="shared" si="53"/>
        <v>32728.099327777778</v>
      </c>
      <c r="AF197" s="141">
        <f t="shared" si="53"/>
        <v>83000.291721951216</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25">
      <c r="C198" s="100"/>
      <c r="F198" t="s">
        <v>161</v>
      </c>
      <c r="G198" s="46" t="s">
        <v>788</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7.3167291666666676</v>
      </c>
      <c r="S198" s="141">
        <f t="shared" si="54"/>
        <v>20.581885861238785</v>
      </c>
      <c r="T198" s="141">
        <f t="shared" si="54"/>
        <v>12.969427165354331</v>
      </c>
      <c r="U198" s="141">
        <f t="shared" si="54"/>
        <v>7.0072626262626274</v>
      </c>
      <c r="V198" s="141">
        <f t="shared" si="54"/>
        <v>8.0135496207332491</v>
      </c>
      <c r="W198" s="141">
        <f t="shared" si="54"/>
        <v>182.88020833333329</v>
      </c>
      <c r="X198" s="141">
        <f t="shared" si="54"/>
        <v>605.04900925925926</v>
      </c>
      <c r="Y198" s="141">
        <f t="shared" si="54"/>
        <v>183.70714492753621</v>
      </c>
      <c r="Z198" s="141">
        <f t="shared" si="54"/>
        <v>24.90654265873016</v>
      </c>
      <c r="AA198" s="141">
        <f t="shared" si="54"/>
        <v>29.443713541666664</v>
      </c>
      <c r="AB198" s="141">
        <f t="shared" si="54"/>
        <v>210.58148873873878</v>
      </c>
      <c r="AC198" s="141">
        <f t="shared" si="54"/>
        <v>284.16090828544066</v>
      </c>
      <c r="AD198" s="141">
        <f t="shared" si="54"/>
        <v>106.37454717373234</v>
      </c>
      <c r="AE198" s="141">
        <f t="shared" si="54"/>
        <v>200.9088763888889</v>
      </c>
      <c r="AF198" s="141">
        <f t="shared" si="54"/>
        <v>430.89036382113829</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25">
      <c r="C199" s="100"/>
      <c r="F199" s="90" t="s">
        <v>162</v>
      </c>
      <c r="G199" s="138" t="s">
        <v>788</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2.1103499999999999</v>
      </c>
      <c r="S199" s="169">
        <f t="shared" si="55"/>
        <v>9.0231469293061934</v>
      </c>
      <c r="T199" s="169">
        <f t="shared" si="55"/>
        <v>13.283622173228345</v>
      </c>
      <c r="U199" s="169">
        <f t="shared" si="55"/>
        <v>21.023725128205125</v>
      </c>
      <c r="V199" s="169">
        <f t="shared" si="55"/>
        <v>44.732811934260425</v>
      </c>
      <c r="W199" s="169">
        <f t="shared" si="55"/>
        <v>2.3131200000000001</v>
      </c>
      <c r="X199" s="169">
        <f t="shared" si="55"/>
        <v>57.71775111111112</v>
      </c>
      <c r="Y199" s="169">
        <f t="shared" si="55"/>
        <v>18.99252739130435</v>
      </c>
      <c r="Z199" s="169">
        <f t="shared" si="55"/>
        <v>39.486494761904758</v>
      </c>
      <c r="AA199" s="169">
        <f t="shared" si="55"/>
        <v>66.357975624999995</v>
      </c>
      <c r="AB199" s="169">
        <f t="shared" si="55"/>
        <v>7.7129214864864855</v>
      </c>
      <c r="AC199" s="169">
        <f t="shared" si="55"/>
        <v>38.678313390804597</v>
      </c>
      <c r="AD199" s="169">
        <f t="shared" si="55"/>
        <v>52.44593760598503</v>
      </c>
      <c r="AE199" s="169">
        <f t="shared" si="55"/>
        <v>105.51918811111111</v>
      </c>
      <c r="AF199" s="169">
        <f t="shared" si="55"/>
        <v>398.25504019512198</v>
      </c>
      <c r="AG199" s="169">
        <f t="shared" si="55"/>
        <v>0</v>
      </c>
      <c r="AH199" s="169">
        <f t="shared" si="55"/>
        <v>0</v>
      </c>
      <c r="AI199" s="169">
        <f t="shared" si="55"/>
        <v>0</v>
      </c>
      <c r="AJ199" s="169">
        <f t="shared" si="55"/>
        <v>21.950720000000004</v>
      </c>
      <c r="AK199" s="169">
        <f t="shared" si="55"/>
        <v>0</v>
      </c>
      <c r="AL199" s="169">
        <f t="shared" si="55"/>
        <v>33.333500000000001</v>
      </c>
      <c r="AM199" s="169">
        <f t="shared" si="55"/>
        <v>0</v>
      </c>
      <c r="AN199" s="169">
        <f t="shared" si="55"/>
        <v>104.70284600760455</v>
      </c>
      <c r="AO199" s="169">
        <f t="shared" si="55"/>
        <v>0</v>
      </c>
    </row>
    <row r="200" spans="3:43" x14ac:dyDescent="0.25">
      <c r="C200" s="100"/>
      <c r="F200" s="151" t="s">
        <v>100</v>
      </c>
      <c r="G200" s="360" t="s">
        <v>788</v>
      </c>
      <c r="H200" s="369"/>
      <c r="I200" s="151"/>
      <c r="J200" s="216">
        <f t="shared" ref="J200" si="56">SUM(J193:J199)</f>
        <v>46.071927750313364</v>
      </c>
      <c r="K200" s="216">
        <f t="shared" ref="K200:AO200" si="57">SUM(K193:K199)</f>
        <v>1.3944934297735134</v>
      </c>
      <c r="L200" s="216">
        <f t="shared" si="57"/>
        <v>36.921065891917948</v>
      </c>
      <c r="M200" s="216">
        <f t="shared" si="57"/>
        <v>57.692188129638581</v>
      </c>
      <c r="N200" s="216">
        <f t="shared" si="57"/>
        <v>109.49558129036477</v>
      </c>
      <c r="O200" s="216">
        <f t="shared" si="57"/>
        <v>222.89385857297572</v>
      </c>
      <c r="P200" s="216">
        <f t="shared" si="57"/>
        <v>628.39299918062363</v>
      </c>
      <c r="Q200" s="216">
        <f t="shared" si="57"/>
        <v>14.455513150525087</v>
      </c>
      <c r="R200" s="216">
        <f t="shared" si="57"/>
        <v>385.52382890239949</v>
      </c>
      <c r="S200" s="216">
        <f t="shared" si="57"/>
        <v>1492.4341563730113</v>
      </c>
      <c r="T200" s="216">
        <f t="shared" si="57"/>
        <v>2656.4567838479625</v>
      </c>
      <c r="U200" s="216">
        <f t="shared" si="57"/>
        <v>4346.6784897192701</v>
      </c>
      <c r="V200" s="216">
        <f t="shared" si="57"/>
        <v>8865.0832517583403</v>
      </c>
      <c r="W200" s="216">
        <f t="shared" si="57"/>
        <v>356.61247591471715</v>
      </c>
      <c r="X200" s="216">
        <f t="shared" si="57"/>
        <v>2913.4725746194945</v>
      </c>
      <c r="Y200" s="216">
        <f t="shared" si="57"/>
        <v>4720.8288069639157</v>
      </c>
      <c r="Z200" s="216">
        <f t="shared" si="57"/>
        <v>7780.4479596663632</v>
      </c>
      <c r="AA200" s="216">
        <f t="shared" si="57"/>
        <v>17789.398910831522</v>
      </c>
      <c r="AB200" s="216">
        <f t="shared" si="57"/>
        <v>3160.1507950718315</v>
      </c>
      <c r="AC200" s="216">
        <f t="shared" si="57"/>
        <v>11319.328630248374</v>
      </c>
      <c r="AD200" s="216">
        <f t="shared" si="57"/>
        <v>35443.623488457473</v>
      </c>
      <c r="AE200" s="216">
        <f t="shared" si="57"/>
        <v>68913.136551614298</v>
      </c>
      <c r="AF200" s="216">
        <f t="shared" si="57"/>
        <v>178749.03765824981</v>
      </c>
      <c r="AG200" s="216">
        <f t="shared" si="57"/>
        <v>579.08352582811904</v>
      </c>
      <c r="AH200" s="216">
        <f t="shared" si="57"/>
        <v>-87.948770878777736</v>
      </c>
      <c r="AI200" s="216">
        <f t="shared" si="57"/>
        <v>-819.34475368262122</v>
      </c>
      <c r="AJ200" s="216">
        <f t="shared" si="57"/>
        <v>-1389.780173387978</v>
      </c>
      <c r="AK200" s="216">
        <f t="shared" si="57"/>
        <v>0</v>
      </c>
      <c r="AL200" s="216">
        <f t="shared" si="57"/>
        <v>-796.99048111111085</v>
      </c>
      <c r="AM200" s="216">
        <f t="shared" si="57"/>
        <v>0</v>
      </c>
      <c r="AN200" s="216">
        <f t="shared" si="57"/>
        <v>-26819.327612851717</v>
      </c>
      <c r="AO200" s="216">
        <f t="shared" si="57"/>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791</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792</v>
      </c>
      <c r="G206" s="89" t="s">
        <v>167</v>
      </c>
      <c r="J206" s="154">
        <f>IF( AND( ISNUMBER(J$140), J$140 &lt;&gt; 0), ( J$140 - J189 ) / J$140, 0)</f>
        <v>0.39879900367787713</v>
      </c>
      <c r="K206" s="154">
        <f>IF( AND( ISNUMBER(K$140), K$140 &lt;&gt; 0), ( K$140 - K189 ) / K$140, 0)</f>
        <v>0.39813557783266446</v>
      </c>
      <c r="L206" s="154">
        <f t="shared" ref="L206:AK206" si="58">IF( AND( ISNUMBER(L$140), L$140 &lt;&gt; 0), ( L$140 - L189 ) / L$140, 0)</f>
        <v>0.39955031907565897</v>
      </c>
      <c r="M206" s="154">
        <f t="shared" si="58"/>
        <v>0.39989119004906193</v>
      </c>
      <c r="N206" s="154">
        <f t="shared" si="58"/>
        <v>0.40013343727343831</v>
      </c>
      <c r="O206" s="154">
        <f t="shared" si="58"/>
        <v>0.40022192987314226</v>
      </c>
      <c r="P206" s="154">
        <f t="shared" si="58"/>
        <v>0.40024538329194298</v>
      </c>
      <c r="Q206" s="154">
        <f t="shared" si="58"/>
        <v>0.40019973655600588</v>
      </c>
      <c r="R206" s="154">
        <f t="shared" si="58"/>
        <v>0.40095091168115277</v>
      </c>
      <c r="S206" s="154">
        <f t="shared" si="58"/>
        <v>0.40050714000528775</v>
      </c>
      <c r="T206" s="154">
        <f t="shared" si="58"/>
        <v>0.40053559964656765</v>
      </c>
      <c r="U206" s="154">
        <f t="shared" si="58"/>
        <v>0.40054129025671115</v>
      </c>
      <c r="V206" s="154">
        <f t="shared" si="58"/>
        <v>0.4005536963703577</v>
      </c>
      <c r="W206" s="154">
        <f t="shared" si="58"/>
        <v>1</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0.40026889314847169</v>
      </c>
      <c r="AH206" s="154">
        <f t="shared" si="58"/>
        <v>-1.6158104966343675E-16</v>
      </c>
      <c r="AI206" s="370"/>
      <c r="AJ206" s="154">
        <f t="shared" si="58"/>
        <v>0</v>
      </c>
      <c r="AK206" s="154">
        <f t="shared" si="58"/>
        <v>0</v>
      </c>
      <c r="AL206" s="370"/>
      <c r="AM206" s="370"/>
      <c r="AN206" s="370"/>
      <c r="AO206" s="370"/>
    </row>
    <row r="207" spans="3:43" x14ac:dyDescent="0.25">
      <c r="C207" s="100"/>
      <c r="D207" s="2"/>
      <c r="E207" t="s">
        <v>793</v>
      </c>
      <c r="G207" s="89" t="s">
        <v>167</v>
      </c>
      <c r="J207" s="154">
        <f>IF( AND( ISNUMBER(J$140), J$140 &lt;&gt; 0), ( J$140 - J200 ) / J$140, 0)</f>
        <v>0.60213570861753218</v>
      </c>
      <c r="K207" s="154">
        <f>IF( AND( ISNUMBER(K$140), K$140 &lt;&gt; 0), ( K$140 - K200 ) / K$140, 0)</f>
        <v>0.60593966948543554</v>
      </c>
      <c r="L207" s="154">
        <f t="shared" ref="L207:AO207" si="59">IF( AND( ISNUMBER(L$140), L$140 &lt;&gt; 0), ( L$140 - L200 ) / L$140, 0)</f>
        <v>0.60357431449866739</v>
      </c>
      <c r="M207" s="154">
        <f t="shared" si="59"/>
        <v>0.60386026308172747</v>
      </c>
      <c r="N207" s="154">
        <f t="shared" si="59"/>
        <v>0.60413381627435792</v>
      </c>
      <c r="O207" s="154">
        <f t="shared" si="59"/>
        <v>0.60426494459848079</v>
      </c>
      <c r="P207" s="154">
        <f t="shared" si="59"/>
        <v>0.604333729844169</v>
      </c>
      <c r="Q207" s="154">
        <f t="shared" si="59"/>
        <v>0.60427021083912735</v>
      </c>
      <c r="R207" s="154">
        <f t="shared" si="59"/>
        <v>0.60453757901630667</v>
      </c>
      <c r="S207" s="154">
        <f t="shared" si="59"/>
        <v>0.60448946395086711</v>
      </c>
      <c r="T207" s="154">
        <f t="shared" si="59"/>
        <v>0.60449778493557349</v>
      </c>
      <c r="U207" s="154">
        <f t="shared" si="59"/>
        <v>0.60450371525166835</v>
      </c>
      <c r="V207" s="154">
        <f t="shared" si="59"/>
        <v>0.60451015868468017</v>
      </c>
      <c r="W207" s="154">
        <f t="shared" si="59"/>
        <v>0.33832289491903206</v>
      </c>
      <c r="X207" s="154">
        <f t="shared" si="59"/>
        <v>0.33856121687480706</v>
      </c>
      <c r="Y207" s="154">
        <f t="shared" si="59"/>
        <v>0.33863375639700033</v>
      </c>
      <c r="Z207" s="154">
        <f t="shared" si="59"/>
        <v>0.338633375366659</v>
      </c>
      <c r="AA207" s="154">
        <f t="shared" si="59"/>
        <v>0.33863069100811816</v>
      </c>
      <c r="AB207" s="154">
        <f t="shared" si="59"/>
        <v>0.24023791757774937</v>
      </c>
      <c r="AC207" s="154">
        <f t="shared" si="59"/>
        <v>0.2403614446143848</v>
      </c>
      <c r="AD207" s="154">
        <f t="shared" si="59"/>
        <v>0.24035391053673333</v>
      </c>
      <c r="AE207" s="154">
        <f t="shared" si="59"/>
        <v>0.24035092593907478</v>
      </c>
      <c r="AF207" s="154">
        <f t="shared" si="59"/>
        <v>0.24034962364728621</v>
      </c>
      <c r="AG207" s="154">
        <f t="shared" si="59"/>
        <v>0.60438507058657409</v>
      </c>
      <c r="AH207" s="154">
        <f t="shared" si="59"/>
        <v>-1.6158104966343675E-16</v>
      </c>
      <c r="AI207" s="154">
        <f t="shared" si="59"/>
        <v>1.3875336018280454E-16</v>
      </c>
      <c r="AJ207" s="154">
        <f t="shared" si="59"/>
        <v>0</v>
      </c>
      <c r="AK207" s="154">
        <f t="shared" si="59"/>
        <v>0</v>
      </c>
      <c r="AL207" s="154">
        <f t="shared" si="59"/>
        <v>0</v>
      </c>
      <c r="AM207" s="154">
        <f t="shared" si="59"/>
        <v>0</v>
      </c>
      <c r="AN207" s="154">
        <f t="shared" si="59"/>
        <v>-1.5144772691515257E-2</v>
      </c>
      <c r="AO207" s="154">
        <f t="shared" si="59"/>
        <v>0</v>
      </c>
    </row>
    <row r="208" spans="3:43" x14ac:dyDescent="0.25">
      <c r="C208" s="100"/>
      <c r="D208" s="2"/>
      <c r="E208" s="2"/>
      <c r="F208" s="146"/>
      <c r="G208" s="146"/>
    </row>
    <row r="209" spans="2:43" x14ac:dyDescent="0.25">
      <c r="B209" s="70" t="s">
        <v>231</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232</v>
      </c>
      <c r="G211" s="6" t="s">
        <v>55</v>
      </c>
      <c r="H211" s="108">
        <f t="array" ref="H211">SUM(IF(ISERROR($H$13:$AP$207), 1))</f>
        <v>0</v>
      </c>
      <c r="I211" s="3"/>
    </row>
    <row r="212" spans="2:43" x14ac:dyDescent="0.25">
      <c r="F212" s="3"/>
      <c r="G212" s="3"/>
      <c r="H212" s="3"/>
      <c r="I212" s="3"/>
    </row>
    <row r="213" spans="2:43" x14ac:dyDescent="0.25">
      <c r="B213" s="70" t="s">
        <v>106</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One</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142</v>
      </c>
      <c r="C5" s="85"/>
      <c r="D5" s="85"/>
      <c r="E5" s="85"/>
      <c r="F5" s="85"/>
      <c r="G5" s="86"/>
      <c r="H5" s="86" t="s">
        <v>794</v>
      </c>
      <c r="J5" s="87" t="s">
        <v>795</v>
      </c>
      <c r="K5" s="87" t="s">
        <v>796</v>
      </c>
      <c r="L5" s="87" t="s">
        <v>797</v>
      </c>
      <c r="M5" s="87" t="s">
        <v>798</v>
      </c>
      <c r="N5" s="87" t="s">
        <v>799</v>
      </c>
      <c r="O5" s="87" t="s">
        <v>800</v>
      </c>
      <c r="P5" s="87" t="s">
        <v>801</v>
      </c>
      <c r="R5" s="86" t="s">
        <v>145</v>
      </c>
    </row>
    <row r="7" spans="1:44"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802</v>
      </c>
    </row>
    <row r="11" spans="1:44" x14ac:dyDescent="0.25">
      <c r="B11" s="70" t="s">
        <v>96</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803</v>
      </c>
    </row>
    <row r="16" spans="1:44" x14ac:dyDescent="0.25">
      <c r="F16" s="90" t="s">
        <v>1161</v>
      </c>
      <c r="G16" s="90"/>
      <c r="H16" s="90" t="s">
        <v>771</v>
      </c>
      <c r="I16" s="90"/>
      <c r="J16" s="371">
        <f t="array" ref="J16:P47">TRANSPOSE(Rounding!J150:AO156)</f>
        <v>11.759</v>
      </c>
      <c r="K16" s="371">
        <v>1.282</v>
      </c>
      <c r="L16" s="371">
        <v>2.5999999999999999E-2</v>
      </c>
      <c r="M16" s="372">
        <v>14.83</v>
      </c>
      <c r="N16" s="373">
        <v>0</v>
      </c>
      <c r="O16" s="373">
        <v>0</v>
      </c>
      <c r="P16" s="371">
        <v>0</v>
      </c>
    </row>
    <row r="17" spans="6:16" x14ac:dyDescent="0.25">
      <c r="F17" t="s">
        <v>826</v>
      </c>
      <c r="H17" t="s">
        <v>771</v>
      </c>
      <c r="J17" s="374">
        <v>11.759</v>
      </c>
      <c r="K17" s="374">
        <v>1.282</v>
      </c>
      <c r="L17" s="374">
        <v>2.5999999999999999E-2</v>
      </c>
      <c r="M17" s="375">
        <v>0</v>
      </c>
      <c r="N17" s="376">
        <v>0</v>
      </c>
      <c r="O17" s="376">
        <v>0</v>
      </c>
      <c r="P17" s="374">
        <v>0</v>
      </c>
    </row>
    <row r="18" spans="6:16" x14ac:dyDescent="0.25">
      <c r="F18" t="s">
        <v>1162</v>
      </c>
      <c r="H18" t="s">
        <v>771</v>
      </c>
      <c r="J18" s="374">
        <v>13.506</v>
      </c>
      <c r="K18" s="374">
        <v>1.472</v>
      </c>
      <c r="L18" s="374">
        <v>0.03</v>
      </c>
      <c r="M18" s="375">
        <v>8.44</v>
      </c>
      <c r="N18" s="376">
        <v>0</v>
      </c>
      <c r="O18" s="376">
        <v>0</v>
      </c>
      <c r="P18" s="374">
        <v>0</v>
      </c>
    </row>
    <row r="19" spans="6:16" x14ac:dyDescent="0.25">
      <c r="F19" t="s">
        <v>1163</v>
      </c>
      <c r="H19" t="s">
        <v>771</v>
      </c>
      <c r="J19" s="374">
        <v>13.506</v>
      </c>
      <c r="K19" s="374">
        <v>1.472</v>
      </c>
      <c r="L19" s="374">
        <v>0.03</v>
      </c>
      <c r="M19" s="375">
        <v>18.55</v>
      </c>
      <c r="N19" s="376">
        <v>0</v>
      </c>
      <c r="O19" s="376">
        <v>0</v>
      </c>
      <c r="P19" s="374">
        <v>0</v>
      </c>
    </row>
    <row r="20" spans="6:16" x14ac:dyDescent="0.25">
      <c r="F20" t="s">
        <v>1164</v>
      </c>
      <c r="H20" t="s">
        <v>771</v>
      </c>
      <c r="J20" s="374">
        <v>13.506</v>
      </c>
      <c r="K20" s="374">
        <v>1.472</v>
      </c>
      <c r="L20" s="374">
        <v>0.03</v>
      </c>
      <c r="M20" s="375">
        <v>30.08</v>
      </c>
      <c r="N20" s="376">
        <v>0</v>
      </c>
      <c r="O20" s="376">
        <v>0</v>
      </c>
      <c r="P20" s="374">
        <v>0</v>
      </c>
    </row>
    <row r="21" spans="6:16" x14ac:dyDescent="0.25">
      <c r="F21" t="s">
        <v>1165</v>
      </c>
      <c r="H21" t="s">
        <v>771</v>
      </c>
      <c r="J21" s="374">
        <v>13.506</v>
      </c>
      <c r="K21" s="374">
        <v>1.472</v>
      </c>
      <c r="L21" s="374">
        <v>0.03</v>
      </c>
      <c r="M21" s="375">
        <v>55.28</v>
      </c>
      <c r="N21" s="376">
        <v>0</v>
      </c>
      <c r="O21" s="376">
        <v>0</v>
      </c>
      <c r="P21" s="374">
        <v>0</v>
      </c>
    </row>
    <row r="22" spans="6:16" x14ac:dyDescent="0.25">
      <c r="F22" t="s">
        <v>1166</v>
      </c>
      <c r="H22" t="s">
        <v>771</v>
      </c>
      <c r="J22" s="374">
        <v>13.506</v>
      </c>
      <c r="K22" s="374">
        <v>1.472</v>
      </c>
      <c r="L22" s="374">
        <v>0.03</v>
      </c>
      <c r="M22" s="375">
        <v>145.44999999999999</v>
      </c>
      <c r="N22" s="376">
        <v>0</v>
      </c>
      <c r="O22" s="376">
        <v>0</v>
      </c>
      <c r="P22" s="374">
        <v>0</v>
      </c>
    </row>
    <row r="23" spans="6:16" x14ac:dyDescent="0.25">
      <c r="F23" t="s">
        <v>827</v>
      </c>
      <c r="H23" t="s">
        <v>771</v>
      </c>
      <c r="J23" s="374">
        <v>13.506</v>
      </c>
      <c r="K23" s="374">
        <v>1.472</v>
      </c>
      <c r="L23" s="374">
        <v>0.03</v>
      </c>
      <c r="M23" s="375">
        <v>0</v>
      </c>
      <c r="N23" s="376">
        <v>0</v>
      </c>
      <c r="O23" s="376">
        <v>0</v>
      </c>
      <c r="P23" s="374">
        <v>0</v>
      </c>
    </row>
    <row r="24" spans="6:16" x14ac:dyDescent="0.25">
      <c r="F24" t="s">
        <v>905</v>
      </c>
      <c r="H24" t="s">
        <v>771</v>
      </c>
      <c r="J24" s="374">
        <v>10.050000000000001</v>
      </c>
      <c r="K24" s="374">
        <v>1.0289999999999999</v>
      </c>
      <c r="L24" s="374">
        <v>2.1000000000000001E-2</v>
      </c>
      <c r="M24" s="375">
        <v>28.13</v>
      </c>
      <c r="N24" s="376">
        <v>5.16</v>
      </c>
      <c r="O24" s="376">
        <v>5.16</v>
      </c>
      <c r="P24" s="374">
        <v>0.223</v>
      </c>
    </row>
    <row r="25" spans="6:16" x14ac:dyDescent="0.25">
      <c r="F25" t="s">
        <v>906</v>
      </c>
      <c r="H25" t="s">
        <v>771</v>
      </c>
      <c r="J25" s="374">
        <v>10.050000000000001</v>
      </c>
      <c r="K25" s="374">
        <v>1.0289999999999999</v>
      </c>
      <c r="L25" s="374">
        <v>2.1000000000000001E-2</v>
      </c>
      <c r="M25" s="375">
        <v>296.36</v>
      </c>
      <c r="N25" s="376">
        <v>5.16</v>
      </c>
      <c r="O25" s="376">
        <v>5.16</v>
      </c>
      <c r="P25" s="374">
        <v>0.223</v>
      </c>
    </row>
    <row r="26" spans="6:16" x14ac:dyDescent="0.25">
      <c r="F26" t="s">
        <v>907</v>
      </c>
      <c r="H26" t="s">
        <v>771</v>
      </c>
      <c r="J26" s="374">
        <v>10.050000000000001</v>
      </c>
      <c r="K26" s="374">
        <v>1.0289999999999999</v>
      </c>
      <c r="L26" s="374">
        <v>2.1000000000000001E-2</v>
      </c>
      <c r="M26" s="375">
        <v>490.43</v>
      </c>
      <c r="N26" s="376">
        <v>5.16</v>
      </c>
      <c r="O26" s="376">
        <v>5.16</v>
      </c>
      <c r="P26" s="374">
        <v>0.223</v>
      </c>
    </row>
    <row r="27" spans="6:16" x14ac:dyDescent="0.25">
      <c r="F27" t="s">
        <v>908</v>
      </c>
      <c r="H27" t="s">
        <v>771</v>
      </c>
      <c r="J27" s="374">
        <v>10.050000000000001</v>
      </c>
      <c r="K27" s="374">
        <v>1.0289999999999999</v>
      </c>
      <c r="L27" s="374">
        <v>2.1000000000000001E-2</v>
      </c>
      <c r="M27" s="375">
        <v>818.8</v>
      </c>
      <c r="N27" s="376">
        <v>5.16</v>
      </c>
      <c r="O27" s="376">
        <v>5.16</v>
      </c>
      <c r="P27" s="374">
        <v>0.223</v>
      </c>
    </row>
    <row r="28" spans="6:16" x14ac:dyDescent="0.25">
      <c r="F28" t="s">
        <v>909</v>
      </c>
      <c r="H28" t="s">
        <v>771</v>
      </c>
      <c r="J28" s="374">
        <v>10.050000000000001</v>
      </c>
      <c r="K28" s="374">
        <v>1.0289999999999999</v>
      </c>
      <c r="L28" s="374">
        <v>2.1000000000000001E-2</v>
      </c>
      <c r="M28" s="375">
        <v>1699.02</v>
      </c>
      <c r="N28" s="376">
        <v>5.16</v>
      </c>
      <c r="O28" s="376">
        <v>5.16</v>
      </c>
      <c r="P28" s="374">
        <v>0.223</v>
      </c>
    </row>
    <row r="29" spans="6:16" x14ac:dyDescent="0.25">
      <c r="F29" t="s">
        <v>910</v>
      </c>
      <c r="H29" t="s">
        <v>771</v>
      </c>
      <c r="J29" s="374">
        <v>5.5049999999999999</v>
      </c>
      <c r="K29" s="374">
        <v>0.45400000000000001</v>
      </c>
      <c r="L29" s="374">
        <v>0.01</v>
      </c>
      <c r="M29" s="375">
        <v>9.9499999999999993</v>
      </c>
      <c r="N29" s="376">
        <v>7.27</v>
      </c>
      <c r="O29" s="376">
        <v>7.27</v>
      </c>
      <c r="P29" s="374">
        <v>0.11899999999999999</v>
      </c>
    </row>
    <row r="30" spans="6:16" x14ac:dyDescent="0.25">
      <c r="F30" t="s">
        <v>911</v>
      </c>
      <c r="H30" t="s">
        <v>771</v>
      </c>
      <c r="J30" s="374">
        <v>5.5049999999999999</v>
      </c>
      <c r="K30" s="374">
        <v>0.45400000000000001</v>
      </c>
      <c r="L30" s="374">
        <v>0.01</v>
      </c>
      <c r="M30" s="375">
        <v>278.18</v>
      </c>
      <c r="N30" s="376">
        <v>7.27</v>
      </c>
      <c r="O30" s="376">
        <v>7.27</v>
      </c>
      <c r="P30" s="374">
        <v>0.11899999999999999</v>
      </c>
    </row>
    <row r="31" spans="6:16" x14ac:dyDescent="0.25">
      <c r="F31" t="s">
        <v>912</v>
      </c>
      <c r="H31" t="s">
        <v>771</v>
      </c>
      <c r="J31" s="377">
        <v>5.5049999999999999</v>
      </c>
      <c r="K31" s="377">
        <v>0.45400000000000001</v>
      </c>
      <c r="L31" s="377">
        <v>0.01</v>
      </c>
      <c r="M31" s="378">
        <v>472.26</v>
      </c>
      <c r="N31" s="379">
        <v>7.27</v>
      </c>
      <c r="O31" s="379">
        <v>7.27</v>
      </c>
      <c r="P31" s="377">
        <v>0.11899999999999999</v>
      </c>
    </row>
    <row r="32" spans="6:16" x14ac:dyDescent="0.25">
      <c r="F32" t="s">
        <v>913</v>
      </c>
      <c r="H32" t="s">
        <v>771</v>
      </c>
      <c r="J32" s="377">
        <v>5.5049999999999999</v>
      </c>
      <c r="K32" s="377">
        <v>0.45400000000000001</v>
      </c>
      <c r="L32" s="377">
        <v>0.01</v>
      </c>
      <c r="M32" s="378">
        <v>800.63</v>
      </c>
      <c r="N32" s="379">
        <v>7.27</v>
      </c>
      <c r="O32" s="379">
        <v>7.27</v>
      </c>
      <c r="P32" s="377">
        <v>0.11899999999999999</v>
      </c>
    </row>
    <row r="33" spans="6:16" x14ac:dyDescent="0.25">
      <c r="F33" t="s">
        <v>914</v>
      </c>
      <c r="H33" t="s">
        <v>771</v>
      </c>
      <c r="J33" s="377">
        <v>5.5049999999999999</v>
      </c>
      <c r="K33" s="377">
        <v>0.45400000000000001</v>
      </c>
      <c r="L33" s="377">
        <v>0.01</v>
      </c>
      <c r="M33" s="378">
        <v>1680.85</v>
      </c>
      <c r="N33" s="379">
        <v>7.27</v>
      </c>
      <c r="O33" s="379">
        <v>7.27</v>
      </c>
      <c r="P33" s="377">
        <v>0.11899999999999999</v>
      </c>
    </row>
    <row r="34" spans="6:16" x14ac:dyDescent="0.25">
      <c r="F34" t="s">
        <v>915</v>
      </c>
      <c r="H34" t="s">
        <v>771</v>
      </c>
      <c r="J34" s="377">
        <v>3.9350000000000001</v>
      </c>
      <c r="K34" s="377">
        <v>0.28599999999999998</v>
      </c>
      <c r="L34" s="377">
        <v>6.0000000000000001E-3</v>
      </c>
      <c r="M34" s="378">
        <v>150.16</v>
      </c>
      <c r="N34" s="379">
        <v>8.66</v>
      </c>
      <c r="O34" s="379">
        <v>8.66</v>
      </c>
      <c r="P34" s="377">
        <v>8.2000000000000003E-2</v>
      </c>
    </row>
    <row r="35" spans="6:16" x14ac:dyDescent="0.25">
      <c r="F35" t="s">
        <v>916</v>
      </c>
      <c r="H35" t="s">
        <v>771</v>
      </c>
      <c r="J35" s="377">
        <v>3.9350000000000001</v>
      </c>
      <c r="K35" s="377">
        <v>0.28599999999999998</v>
      </c>
      <c r="L35" s="377">
        <v>6.0000000000000001E-3</v>
      </c>
      <c r="M35" s="378">
        <v>1497.09</v>
      </c>
      <c r="N35" s="379">
        <v>8.66</v>
      </c>
      <c r="O35" s="379">
        <v>8.66</v>
      </c>
      <c r="P35" s="377">
        <v>8.2000000000000003E-2</v>
      </c>
    </row>
    <row r="36" spans="6:16" x14ac:dyDescent="0.25">
      <c r="F36" t="s">
        <v>917</v>
      </c>
      <c r="H36" t="s">
        <v>771</v>
      </c>
      <c r="J36" s="377">
        <v>3.9350000000000001</v>
      </c>
      <c r="K36" s="377">
        <v>0.28599999999999998</v>
      </c>
      <c r="L36" s="377">
        <v>6.0000000000000001E-3</v>
      </c>
      <c r="M36" s="378">
        <v>4420.58</v>
      </c>
      <c r="N36" s="379">
        <v>8.66</v>
      </c>
      <c r="O36" s="379">
        <v>8.66</v>
      </c>
      <c r="P36" s="377">
        <v>8.2000000000000003E-2</v>
      </c>
    </row>
    <row r="37" spans="6:16" x14ac:dyDescent="0.25">
      <c r="F37" t="s">
        <v>918</v>
      </c>
      <c r="H37" t="s">
        <v>771</v>
      </c>
      <c r="J37" s="377">
        <v>3.9350000000000001</v>
      </c>
      <c r="K37" s="377">
        <v>0.28599999999999998</v>
      </c>
      <c r="L37" s="377">
        <v>6.0000000000000001E-3</v>
      </c>
      <c r="M37" s="378">
        <v>8477.44</v>
      </c>
      <c r="N37" s="379">
        <v>8.66</v>
      </c>
      <c r="O37" s="379">
        <v>8.66</v>
      </c>
      <c r="P37" s="377">
        <v>8.2000000000000003E-2</v>
      </c>
    </row>
    <row r="38" spans="6:16" x14ac:dyDescent="0.25">
      <c r="F38" t="s">
        <v>919</v>
      </c>
      <c r="H38" t="s">
        <v>771</v>
      </c>
      <c r="J38" s="377">
        <v>3.9350000000000001</v>
      </c>
      <c r="K38" s="377">
        <v>0.28599999999999998</v>
      </c>
      <c r="L38" s="377">
        <v>6.0000000000000001E-3</v>
      </c>
      <c r="M38" s="378">
        <v>22553.98</v>
      </c>
      <c r="N38" s="379">
        <v>8.66</v>
      </c>
      <c r="O38" s="379">
        <v>8.66</v>
      </c>
      <c r="P38" s="377">
        <v>8.2000000000000003E-2</v>
      </c>
    </row>
    <row r="39" spans="6:16" x14ac:dyDescent="0.25">
      <c r="F39" t="s">
        <v>836</v>
      </c>
      <c r="H39" t="s">
        <v>771</v>
      </c>
      <c r="J39" s="377">
        <v>32.94</v>
      </c>
      <c r="K39" s="377">
        <v>2.6429999999999998</v>
      </c>
      <c r="L39" s="377">
        <v>1.4870000000000001</v>
      </c>
      <c r="M39" s="378">
        <v>0</v>
      </c>
      <c r="N39" s="379">
        <v>0</v>
      </c>
      <c r="O39" s="379">
        <v>0</v>
      </c>
      <c r="P39" s="377">
        <v>0</v>
      </c>
    </row>
    <row r="40" spans="6:16" x14ac:dyDescent="0.25">
      <c r="F40" t="s">
        <v>828</v>
      </c>
      <c r="H40" t="s">
        <v>771</v>
      </c>
      <c r="J40" s="377">
        <v>-8.6829999999999998</v>
      </c>
      <c r="K40" s="377">
        <v>-0.94599999999999995</v>
      </c>
      <c r="L40" s="377">
        <v>-1.9E-2</v>
      </c>
      <c r="M40" s="378">
        <v>0</v>
      </c>
      <c r="N40" s="379">
        <v>0</v>
      </c>
      <c r="O40" s="379">
        <v>0</v>
      </c>
      <c r="P40" s="377">
        <v>0</v>
      </c>
    </row>
    <row r="41" spans="6:16" x14ac:dyDescent="0.25">
      <c r="F41" t="s">
        <v>829</v>
      </c>
      <c r="H41" t="s">
        <v>771</v>
      </c>
      <c r="J41" s="377">
        <v>-7.4909999999999997</v>
      </c>
      <c r="K41" s="377">
        <v>-0.79100000000000004</v>
      </c>
      <c r="L41" s="377">
        <v>-1.6E-2</v>
      </c>
      <c r="M41" s="378">
        <v>0</v>
      </c>
      <c r="N41" s="379">
        <v>0</v>
      </c>
      <c r="O41" s="379">
        <v>0</v>
      </c>
      <c r="P41" s="377">
        <v>0</v>
      </c>
    </row>
    <row r="42" spans="6:16" x14ac:dyDescent="0.25">
      <c r="F42" t="s">
        <v>830</v>
      </c>
      <c r="H42" t="s">
        <v>771</v>
      </c>
      <c r="J42" s="377">
        <v>-8.6829999999999998</v>
      </c>
      <c r="K42" s="377">
        <v>-0.94599999999999995</v>
      </c>
      <c r="L42" s="377">
        <v>-1.9E-2</v>
      </c>
      <c r="M42" s="378">
        <v>0</v>
      </c>
      <c r="N42" s="379">
        <v>0</v>
      </c>
      <c r="O42" s="379">
        <v>0</v>
      </c>
      <c r="P42" s="377">
        <v>0.19800000000000001</v>
      </c>
    </row>
    <row r="43" spans="6:16" x14ac:dyDescent="0.25">
      <c r="F43" t="s">
        <v>839</v>
      </c>
      <c r="H43" t="s">
        <v>771</v>
      </c>
      <c r="J43" s="377">
        <v>-8.6829999999999998</v>
      </c>
      <c r="K43" s="377">
        <v>-0.94599999999999995</v>
      </c>
      <c r="L43" s="377">
        <v>-1.9E-2</v>
      </c>
      <c r="M43" s="378">
        <v>0</v>
      </c>
      <c r="N43" s="379">
        <v>0</v>
      </c>
      <c r="O43" s="379">
        <v>0</v>
      </c>
      <c r="P43" s="377">
        <v>0</v>
      </c>
    </row>
    <row r="44" spans="6:16" x14ac:dyDescent="0.25">
      <c r="F44" t="s">
        <v>831</v>
      </c>
      <c r="H44" t="s">
        <v>771</v>
      </c>
      <c r="J44" s="377">
        <v>-7.4909999999999997</v>
      </c>
      <c r="K44" s="377">
        <v>-0.79100000000000004</v>
      </c>
      <c r="L44" s="377">
        <v>-1.6E-2</v>
      </c>
      <c r="M44" s="378">
        <v>0</v>
      </c>
      <c r="N44" s="379">
        <v>0</v>
      </c>
      <c r="O44" s="379">
        <v>0</v>
      </c>
      <c r="P44" s="377">
        <v>0.16300000000000001</v>
      </c>
    </row>
    <row r="45" spans="6:16" x14ac:dyDescent="0.25">
      <c r="F45" t="s">
        <v>838</v>
      </c>
      <c r="H45" t="s">
        <v>771</v>
      </c>
      <c r="J45" s="377">
        <v>-7.4909999999999997</v>
      </c>
      <c r="K45" s="377">
        <v>-0.79100000000000004</v>
      </c>
      <c r="L45" s="377">
        <v>-1.6E-2</v>
      </c>
      <c r="M45" s="378">
        <v>0</v>
      </c>
      <c r="N45" s="379">
        <v>0</v>
      </c>
      <c r="O45" s="379">
        <v>0</v>
      </c>
      <c r="P45" s="377">
        <v>0</v>
      </c>
    </row>
    <row r="46" spans="6:16" x14ac:dyDescent="0.25">
      <c r="F46" t="s">
        <v>832</v>
      </c>
      <c r="H46" t="s">
        <v>771</v>
      </c>
      <c r="J46" s="377">
        <v>-4.6870000000000003</v>
      </c>
      <c r="K46" s="377">
        <v>-0.38700000000000001</v>
      </c>
      <c r="L46" s="377">
        <v>-8.0000000000000002E-3</v>
      </c>
      <c r="M46" s="378">
        <v>109.62</v>
      </c>
      <c r="N46" s="379">
        <v>0</v>
      </c>
      <c r="O46" s="379">
        <v>0</v>
      </c>
      <c r="P46" s="377">
        <v>0.14699999999999999</v>
      </c>
    </row>
    <row r="47" spans="6:16" x14ac:dyDescent="0.25">
      <c r="F47" s="91" t="s">
        <v>837</v>
      </c>
      <c r="G47" s="91"/>
      <c r="H47" s="91" t="s">
        <v>771</v>
      </c>
      <c r="I47" s="91"/>
      <c r="J47" s="380">
        <v>-4.6870000000000003</v>
      </c>
      <c r="K47" s="380">
        <v>-0.38700000000000001</v>
      </c>
      <c r="L47" s="380">
        <v>-8.0000000000000002E-3</v>
      </c>
      <c r="M47" s="381">
        <v>109.62</v>
      </c>
      <c r="N47" s="382">
        <v>0</v>
      </c>
      <c r="O47" s="382">
        <v>0</v>
      </c>
      <c r="P47" s="380">
        <v>0</v>
      </c>
    </row>
    <row r="48" spans="6:16" x14ac:dyDescent="0.25">
      <c r="F48" s="2"/>
      <c r="J48" s="47"/>
      <c r="K48" s="47"/>
      <c r="L48" s="47"/>
      <c r="M48" s="383"/>
      <c r="N48" s="383"/>
      <c r="O48" s="383"/>
      <c r="P48" s="47"/>
    </row>
    <row r="49" spans="4:16" x14ac:dyDescent="0.25">
      <c r="D49" s="60"/>
      <c r="E49" s="60" t="s">
        <v>804</v>
      </c>
      <c r="F49" s="2"/>
      <c r="J49" s="47"/>
      <c r="K49" s="47"/>
      <c r="L49" s="47"/>
      <c r="M49" s="383"/>
      <c r="N49" s="383"/>
      <c r="O49" s="383"/>
      <c r="P49" s="47"/>
    </row>
    <row r="50" spans="4:16" x14ac:dyDescent="0.25">
      <c r="F50" s="90" t="s">
        <v>1161</v>
      </c>
      <c r="G50" s="90"/>
      <c r="H50" s="90" t="s">
        <v>446</v>
      </c>
      <c r="I50" s="90"/>
      <c r="J50" s="371">
        <f t="array" ref="J50:P81">TRANSPOSE(Rounding!J159:AO165)</f>
        <v>7.0510000000000002</v>
      </c>
      <c r="K50" s="371">
        <v>0.76900000000000002</v>
      </c>
      <c r="L50" s="371">
        <v>1.6E-2</v>
      </c>
      <c r="M50" s="372">
        <v>8.94</v>
      </c>
      <c r="N50" s="373">
        <v>0</v>
      </c>
      <c r="O50" s="373">
        <v>0</v>
      </c>
      <c r="P50" s="371">
        <v>0</v>
      </c>
    </row>
    <row r="51" spans="4:16" x14ac:dyDescent="0.25">
      <c r="F51" t="s">
        <v>826</v>
      </c>
      <c r="H51" t="s">
        <v>446</v>
      </c>
      <c r="J51" s="374">
        <v>7.0510000000000002</v>
      </c>
      <c r="K51" s="374">
        <v>0.76900000000000002</v>
      </c>
      <c r="L51" s="374">
        <v>1.6E-2</v>
      </c>
      <c r="M51" s="375">
        <v>0</v>
      </c>
      <c r="N51" s="376">
        <v>0</v>
      </c>
      <c r="O51" s="376">
        <v>0</v>
      </c>
      <c r="P51" s="374">
        <v>0</v>
      </c>
    </row>
    <row r="52" spans="4:16" x14ac:dyDescent="0.25">
      <c r="F52" t="s">
        <v>1162</v>
      </c>
      <c r="H52" t="s">
        <v>446</v>
      </c>
      <c r="J52" s="374">
        <v>8.0990000000000002</v>
      </c>
      <c r="K52" s="374">
        <v>0.88300000000000001</v>
      </c>
      <c r="L52" s="374">
        <v>1.7999999999999999E-2</v>
      </c>
      <c r="M52" s="375">
        <v>5.08</v>
      </c>
      <c r="N52" s="376">
        <v>0</v>
      </c>
      <c r="O52" s="376">
        <v>0</v>
      </c>
      <c r="P52" s="374">
        <v>0</v>
      </c>
    </row>
    <row r="53" spans="4:16" x14ac:dyDescent="0.25">
      <c r="F53" t="s">
        <v>1163</v>
      </c>
      <c r="H53" t="s">
        <v>446</v>
      </c>
      <c r="J53" s="374">
        <v>8.0990000000000002</v>
      </c>
      <c r="K53" s="374">
        <v>0.88300000000000001</v>
      </c>
      <c r="L53" s="374">
        <v>1.7999999999999999E-2</v>
      </c>
      <c r="M53" s="375">
        <v>11.14</v>
      </c>
      <c r="N53" s="376">
        <v>0</v>
      </c>
      <c r="O53" s="376">
        <v>0</v>
      </c>
      <c r="P53" s="374">
        <v>0</v>
      </c>
    </row>
    <row r="54" spans="4:16" x14ac:dyDescent="0.25">
      <c r="F54" t="s">
        <v>1164</v>
      </c>
      <c r="H54" t="s">
        <v>446</v>
      </c>
      <c r="J54" s="374">
        <v>8.0990000000000002</v>
      </c>
      <c r="K54" s="374">
        <v>0.88300000000000001</v>
      </c>
      <c r="L54" s="374">
        <v>1.7999999999999999E-2</v>
      </c>
      <c r="M54" s="375">
        <v>18.05</v>
      </c>
      <c r="N54" s="376">
        <v>0</v>
      </c>
      <c r="O54" s="376">
        <v>0</v>
      </c>
      <c r="P54" s="374">
        <v>0</v>
      </c>
    </row>
    <row r="55" spans="4:16" x14ac:dyDescent="0.25">
      <c r="F55" t="s">
        <v>1165</v>
      </c>
      <c r="H55" t="s">
        <v>446</v>
      </c>
      <c r="J55" s="374">
        <v>8.0990000000000002</v>
      </c>
      <c r="K55" s="374">
        <v>0.88300000000000001</v>
      </c>
      <c r="L55" s="374">
        <v>1.7999999999999999E-2</v>
      </c>
      <c r="M55" s="375">
        <v>33.159999999999997</v>
      </c>
      <c r="N55" s="376">
        <v>0</v>
      </c>
      <c r="O55" s="376">
        <v>0</v>
      </c>
      <c r="P55" s="374">
        <v>0</v>
      </c>
    </row>
    <row r="56" spans="4:16" x14ac:dyDescent="0.25">
      <c r="F56" t="s">
        <v>1166</v>
      </c>
      <c r="H56" t="s">
        <v>446</v>
      </c>
      <c r="J56" s="374">
        <v>8.0990000000000002</v>
      </c>
      <c r="K56" s="374">
        <v>0.88300000000000001</v>
      </c>
      <c r="L56" s="374">
        <v>1.7999999999999999E-2</v>
      </c>
      <c r="M56" s="375">
        <v>87.24</v>
      </c>
      <c r="N56" s="376">
        <v>0</v>
      </c>
      <c r="O56" s="376">
        <v>0</v>
      </c>
      <c r="P56" s="374">
        <v>0</v>
      </c>
    </row>
    <row r="57" spans="4:16" x14ac:dyDescent="0.25">
      <c r="F57" t="s">
        <v>827</v>
      </c>
      <c r="H57" t="s">
        <v>446</v>
      </c>
      <c r="J57" s="374">
        <v>8.0990000000000002</v>
      </c>
      <c r="K57" s="374">
        <v>0.88300000000000001</v>
      </c>
      <c r="L57" s="374">
        <v>1.7999999999999999E-2</v>
      </c>
      <c r="M57" s="375">
        <v>0</v>
      </c>
      <c r="N57" s="376">
        <v>0</v>
      </c>
      <c r="O57" s="376">
        <v>0</v>
      </c>
      <c r="P57" s="374">
        <v>0</v>
      </c>
    </row>
    <row r="58" spans="4:16" x14ac:dyDescent="0.25">
      <c r="F58" t="s">
        <v>905</v>
      </c>
      <c r="H58" t="s">
        <v>446</v>
      </c>
      <c r="J58" s="374">
        <v>6.0270000000000001</v>
      </c>
      <c r="K58" s="374">
        <v>0.61699999999999999</v>
      </c>
      <c r="L58" s="374">
        <v>1.2999999999999999E-2</v>
      </c>
      <c r="M58" s="375">
        <v>16.88</v>
      </c>
      <c r="N58" s="376">
        <v>3.09</v>
      </c>
      <c r="O58" s="376">
        <v>3.09</v>
      </c>
      <c r="P58" s="374">
        <v>0.13400000000000001</v>
      </c>
    </row>
    <row r="59" spans="4:16" x14ac:dyDescent="0.25">
      <c r="F59" t="s">
        <v>906</v>
      </c>
      <c r="H59" t="s">
        <v>446</v>
      </c>
      <c r="J59" s="374">
        <v>6.0270000000000001</v>
      </c>
      <c r="K59" s="374">
        <v>0.61699999999999999</v>
      </c>
      <c r="L59" s="374">
        <v>1.2999999999999999E-2</v>
      </c>
      <c r="M59" s="375">
        <v>177.73</v>
      </c>
      <c r="N59" s="376">
        <v>3.09</v>
      </c>
      <c r="O59" s="376">
        <v>3.09</v>
      </c>
      <c r="P59" s="374">
        <v>0.13400000000000001</v>
      </c>
    </row>
    <row r="60" spans="4:16" x14ac:dyDescent="0.25">
      <c r="F60" t="s">
        <v>907</v>
      </c>
      <c r="H60" t="s">
        <v>446</v>
      </c>
      <c r="J60" s="374">
        <v>6.0270000000000001</v>
      </c>
      <c r="K60" s="374">
        <v>0.61699999999999999</v>
      </c>
      <c r="L60" s="374">
        <v>1.2999999999999999E-2</v>
      </c>
      <c r="M60" s="375">
        <v>294.11</v>
      </c>
      <c r="N60" s="376">
        <v>3.09</v>
      </c>
      <c r="O60" s="376">
        <v>3.09</v>
      </c>
      <c r="P60" s="374">
        <v>0.13400000000000001</v>
      </c>
    </row>
    <row r="61" spans="4:16" x14ac:dyDescent="0.25">
      <c r="F61" t="s">
        <v>908</v>
      </c>
      <c r="H61" t="s">
        <v>446</v>
      </c>
      <c r="J61" s="374">
        <v>6.0270000000000001</v>
      </c>
      <c r="K61" s="374">
        <v>0.61699999999999999</v>
      </c>
      <c r="L61" s="374">
        <v>1.2999999999999999E-2</v>
      </c>
      <c r="M61" s="375">
        <v>491.01</v>
      </c>
      <c r="N61" s="376">
        <v>3.09</v>
      </c>
      <c r="O61" s="376">
        <v>3.09</v>
      </c>
      <c r="P61" s="374">
        <v>0.13400000000000001</v>
      </c>
    </row>
    <row r="62" spans="4:16" x14ac:dyDescent="0.25">
      <c r="F62" t="s">
        <v>909</v>
      </c>
      <c r="H62" t="s">
        <v>446</v>
      </c>
      <c r="J62" s="374">
        <v>6.0270000000000001</v>
      </c>
      <c r="K62" s="374">
        <v>0.61699999999999999</v>
      </c>
      <c r="L62" s="374">
        <v>1.2999999999999999E-2</v>
      </c>
      <c r="M62" s="375">
        <v>1018.84</v>
      </c>
      <c r="N62" s="376">
        <v>3.09</v>
      </c>
      <c r="O62" s="376">
        <v>3.09</v>
      </c>
      <c r="P62" s="374">
        <v>0.13400000000000001</v>
      </c>
    </row>
    <row r="63" spans="4:16" x14ac:dyDescent="0.25">
      <c r="F63" t="s">
        <v>910</v>
      </c>
      <c r="H63" t="s">
        <v>446</v>
      </c>
      <c r="J63" s="384">
        <v>0</v>
      </c>
      <c r="K63" s="384">
        <v>0</v>
      </c>
      <c r="L63" s="384">
        <v>0</v>
      </c>
      <c r="M63" s="385">
        <v>0</v>
      </c>
      <c r="N63" s="386">
        <v>0</v>
      </c>
      <c r="O63" s="386">
        <v>0</v>
      </c>
      <c r="P63" s="384">
        <v>0</v>
      </c>
    </row>
    <row r="64" spans="4:16" x14ac:dyDescent="0.25">
      <c r="F64" t="s">
        <v>911</v>
      </c>
      <c r="H64" t="s">
        <v>446</v>
      </c>
      <c r="J64" s="384">
        <v>0</v>
      </c>
      <c r="K64" s="384">
        <v>0</v>
      </c>
      <c r="L64" s="384">
        <v>0</v>
      </c>
      <c r="M64" s="385">
        <v>0</v>
      </c>
      <c r="N64" s="386">
        <v>0</v>
      </c>
      <c r="O64" s="386">
        <v>0</v>
      </c>
      <c r="P64" s="384">
        <v>0</v>
      </c>
    </row>
    <row r="65" spans="6:16" x14ac:dyDescent="0.25">
      <c r="F65" t="s">
        <v>912</v>
      </c>
      <c r="H65" t="s">
        <v>446</v>
      </c>
      <c r="J65" s="387">
        <v>0</v>
      </c>
      <c r="K65" s="387">
        <v>0</v>
      </c>
      <c r="L65" s="387">
        <v>0</v>
      </c>
      <c r="M65" s="388">
        <v>0</v>
      </c>
      <c r="N65" s="389">
        <v>0</v>
      </c>
      <c r="O65" s="389">
        <v>0</v>
      </c>
      <c r="P65" s="387">
        <v>0</v>
      </c>
    </row>
    <row r="66" spans="6:16" x14ac:dyDescent="0.25">
      <c r="F66" t="s">
        <v>913</v>
      </c>
      <c r="H66" t="s">
        <v>446</v>
      </c>
      <c r="J66" s="387">
        <v>0</v>
      </c>
      <c r="K66" s="387">
        <v>0</v>
      </c>
      <c r="L66" s="387">
        <v>0</v>
      </c>
      <c r="M66" s="388">
        <v>0</v>
      </c>
      <c r="N66" s="389">
        <v>0</v>
      </c>
      <c r="O66" s="389">
        <v>0</v>
      </c>
      <c r="P66" s="387">
        <v>0</v>
      </c>
    </row>
    <row r="67" spans="6:16" x14ac:dyDescent="0.25">
      <c r="F67" t="s">
        <v>914</v>
      </c>
      <c r="H67" t="s">
        <v>446</v>
      </c>
      <c r="J67" s="387">
        <v>0</v>
      </c>
      <c r="K67" s="387">
        <v>0</v>
      </c>
      <c r="L67" s="387">
        <v>0</v>
      </c>
      <c r="M67" s="388">
        <v>0</v>
      </c>
      <c r="N67" s="389">
        <v>0</v>
      </c>
      <c r="O67" s="389">
        <v>0</v>
      </c>
      <c r="P67" s="387">
        <v>0</v>
      </c>
    </row>
    <row r="68" spans="6:16" x14ac:dyDescent="0.25">
      <c r="F68" t="s">
        <v>915</v>
      </c>
      <c r="H68" t="s">
        <v>446</v>
      </c>
      <c r="J68" s="387">
        <v>0</v>
      </c>
      <c r="K68" s="387">
        <v>0</v>
      </c>
      <c r="L68" s="387">
        <v>0</v>
      </c>
      <c r="M68" s="388">
        <v>0</v>
      </c>
      <c r="N68" s="389">
        <v>0</v>
      </c>
      <c r="O68" s="389">
        <v>0</v>
      </c>
      <c r="P68" s="387">
        <v>0</v>
      </c>
    </row>
    <row r="69" spans="6:16" x14ac:dyDescent="0.25">
      <c r="F69" t="s">
        <v>916</v>
      </c>
      <c r="H69" t="s">
        <v>446</v>
      </c>
      <c r="J69" s="387">
        <v>0</v>
      </c>
      <c r="K69" s="387">
        <v>0</v>
      </c>
      <c r="L69" s="387">
        <v>0</v>
      </c>
      <c r="M69" s="388">
        <v>0</v>
      </c>
      <c r="N69" s="389">
        <v>0</v>
      </c>
      <c r="O69" s="389">
        <v>0</v>
      </c>
      <c r="P69" s="387">
        <v>0</v>
      </c>
    </row>
    <row r="70" spans="6:16" x14ac:dyDescent="0.25">
      <c r="F70" t="s">
        <v>917</v>
      </c>
      <c r="H70" t="s">
        <v>446</v>
      </c>
      <c r="J70" s="387">
        <v>0</v>
      </c>
      <c r="K70" s="387">
        <v>0</v>
      </c>
      <c r="L70" s="387">
        <v>0</v>
      </c>
      <c r="M70" s="388">
        <v>0</v>
      </c>
      <c r="N70" s="389">
        <v>0</v>
      </c>
      <c r="O70" s="389">
        <v>0</v>
      </c>
      <c r="P70" s="387">
        <v>0</v>
      </c>
    </row>
    <row r="71" spans="6:16" x14ac:dyDescent="0.25">
      <c r="F71" t="s">
        <v>918</v>
      </c>
      <c r="H71" t="s">
        <v>446</v>
      </c>
      <c r="J71" s="387">
        <v>0</v>
      </c>
      <c r="K71" s="387">
        <v>0</v>
      </c>
      <c r="L71" s="387">
        <v>0</v>
      </c>
      <c r="M71" s="388">
        <v>0</v>
      </c>
      <c r="N71" s="389">
        <v>0</v>
      </c>
      <c r="O71" s="389">
        <v>0</v>
      </c>
      <c r="P71" s="387">
        <v>0</v>
      </c>
    </row>
    <row r="72" spans="6:16" x14ac:dyDescent="0.25">
      <c r="F72" t="s">
        <v>919</v>
      </c>
      <c r="H72" t="s">
        <v>446</v>
      </c>
      <c r="J72" s="387">
        <v>0</v>
      </c>
      <c r="K72" s="387">
        <v>0</v>
      </c>
      <c r="L72" s="387">
        <v>0</v>
      </c>
      <c r="M72" s="388">
        <v>0</v>
      </c>
      <c r="N72" s="389">
        <v>0</v>
      </c>
      <c r="O72" s="389">
        <v>0</v>
      </c>
      <c r="P72" s="387">
        <v>0</v>
      </c>
    </row>
    <row r="73" spans="6:16" x14ac:dyDescent="0.25">
      <c r="F73" t="s">
        <v>836</v>
      </c>
      <c r="H73" t="s">
        <v>446</v>
      </c>
      <c r="J73" s="377">
        <v>19.753</v>
      </c>
      <c r="K73" s="377">
        <v>1.585</v>
      </c>
      <c r="L73" s="377">
        <v>0.89200000000000002</v>
      </c>
      <c r="M73" s="378">
        <v>0</v>
      </c>
      <c r="N73" s="379">
        <v>0</v>
      </c>
      <c r="O73" s="379">
        <v>0</v>
      </c>
      <c r="P73" s="377">
        <v>0</v>
      </c>
    </row>
    <row r="74" spans="6:16" x14ac:dyDescent="0.25">
      <c r="F74" t="s">
        <v>828</v>
      </c>
      <c r="H74" t="s">
        <v>446</v>
      </c>
      <c r="J74" s="377">
        <v>-8.6829999999999998</v>
      </c>
      <c r="K74" s="377">
        <v>-0.94599999999999995</v>
      </c>
      <c r="L74" s="377">
        <v>-1.9E-2</v>
      </c>
      <c r="M74" s="378">
        <v>0</v>
      </c>
      <c r="N74" s="379">
        <v>0</v>
      </c>
      <c r="O74" s="379">
        <v>0</v>
      </c>
      <c r="P74" s="377">
        <v>0</v>
      </c>
    </row>
    <row r="75" spans="6:16" x14ac:dyDescent="0.25">
      <c r="F75" t="s">
        <v>829</v>
      </c>
      <c r="H75" t="s">
        <v>446</v>
      </c>
      <c r="J75" s="387">
        <v>0</v>
      </c>
      <c r="K75" s="387">
        <v>0</v>
      </c>
      <c r="L75" s="387">
        <v>0</v>
      </c>
      <c r="M75" s="388">
        <v>0</v>
      </c>
      <c r="N75" s="389">
        <v>0</v>
      </c>
      <c r="O75" s="389">
        <v>0</v>
      </c>
      <c r="P75" s="387">
        <v>0</v>
      </c>
    </row>
    <row r="76" spans="6:16" x14ac:dyDescent="0.25">
      <c r="F76" t="s">
        <v>830</v>
      </c>
      <c r="H76" t="s">
        <v>446</v>
      </c>
      <c r="J76" s="377">
        <v>-8.6829999999999998</v>
      </c>
      <c r="K76" s="377">
        <v>-0.94599999999999995</v>
      </c>
      <c r="L76" s="377">
        <v>-1.9E-2</v>
      </c>
      <c r="M76" s="378">
        <v>0</v>
      </c>
      <c r="N76" s="379">
        <v>0</v>
      </c>
      <c r="O76" s="379">
        <v>0</v>
      </c>
      <c r="P76" s="377">
        <v>0.19800000000000001</v>
      </c>
    </row>
    <row r="77" spans="6:16" x14ac:dyDescent="0.25">
      <c r="F77" t="s">
        <v>839</v>
      </c>
      <c r="H77" t="s">
        <v>446</v>
      </c>
      <c r="J77" s="387">
        <v>0</v>
      </c>
      <c r="K77" s="387">
        <v>0</v>
      </c>
      <c r="L77" s="387">
        <v>0</v>
      </c>
      <c r="M77" s="388">
        <v>0</v>
      </c>
      <c r="N77" s="389">
        <v>0</v>
      </c>
      <c r="O77" s="389">
        <v>0</v>
      </c>
      <c r="P77" s="387">
        <v>0</v>
      </c>
    </row>
    <row r="78" spans="6:16" x14ac:dyDescent="0.25">
      <c r="F78" t="s">
        <v>831</v>
      </c>
      <c r="H78" t="s">
        <v>446</v>
      </c>
      <c r="J78" s="387">
        <v>0</v>
      </c>
      <c r="K78" s="387">
        <v>0</v>
      </c>
      <c r="L78" s="387">
        <v>0</v>
      </c>
      <c r="M78" s="388">
        <v>0</v>
      </c>
      <c r="N78" s="389">
        <v>0</v>
      </c>
      <c r="O78" s="389">
        <v>0</v>
      </c>
      <c r="P78" s="387">
        <v>0</v>
      </c>
    </row>
    <row r="79" spans="6:16" x14ac:dyDescent="0.25">
      <c r="F79" t="s">
        <v>838</v>
      </c>
      <c r="H79" t="s">
        <v>446</v>
      </c>
      <c r="J79" s="387">
        <v>0</v>
      </c>
      <c r="K79" s="387">
        <v>0</v>
      </c>
      <c r="L79" s="387">
        <v>0</v>
      </c>
      <c r="M79" s="388">
        <v>0</v>
      </c>
      <c r="N79" s="389">
        <v>0</v>
      </c>
      <c r="O79" s="389">
        <v>0</v>
      </c>
      <c r="P79" s="387">
        <v>0</v>
      </c>
    </row>
    <row r="80" spans="6:16" x14ac:dyDescent="0.25">
      <c r="F80" t="s">
        <v>832</v>
      </c>
      <c r="H80" t="s">
        <v>446</v>
      </c>
      <c r="J80" s="387">
        <v>0</v>
      </c>
      <c r="K80" s="387">
        <v>0</v>
      </c>
      <c r="L80" s="387">
        <v>0</v>
      </c>
      <c r="M80" s="388">
        <v>0</v>
      </c>
      <c r="N80" s="389">
        <v>0</v>
      </c>
      <c r="O80" s="389">
        <v>0</v>
      </c>
      <c r="P80" s="387">
        <v>0</v>
      </c>
    </row>
    <row r="81" spans="4:16" x14ac:dyDescent="0.25">
      <c r="F81" s="91" t="s">
        <v>837</v>
      </c>
      <c r="G81" s="91"/>
      <c r="H81" s="91" t="s">
        <v>446</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805</v>
      </c>
      <c r="M83" s="393"/>
      <c r="N83" s="393"/>
      <c r="O83" s="393"/>
    </row>
    <row r="84" spans="4:16" x14ac:dyDescent="0.25">
      <c r="F84" s="90" t="s">
        <v>1161</v>
      </c>
      <c r="G84" s="90"/>
      <c r="H84" s="90" t="s">
        <v>447</v>
      </c>
      <c r="I84" s="90"/>
      <c r="J84" s="371">
        <f t="array" ref="J84:P115">TRANSPOSE(Rounding!J168:AO174)</f>
        <v>4.6520000000000001</v>
      </c>
      <c r="K84" s="371">
        <v>0.50700000000000001</v>
      </c>
      <c r="L84" s="371">
        <v>0.01</v>
      </c>
      <c r="M84" s="372">
        <v>5.94</v>
      </c>
      <c r="N84" s="373">
        <v>0</v>
      </c>
      <c r="O84" s="373">
        <v>0</v>
      </c>
      <c r="P84" s="371">
        <v>0</v>
      </c>
    </row>
    <row r="85" spans="4:16" x14ac:dyDescent="0.25">
      <c r="F85" t="s">
        <v>826</v>
      </c>
      <c r="H85" t="s">
        <v>447</v>
      </c>
      <c r="J85" s="374">
        <v>4.6520000000000001</v>
      </c>
      <c r="K85" s="374">
        <v>0.50700000000000001</v>
      </c>
      <c r="L85" s="374">
        <v>0.01</v>
      </c>
      <c r="M85" s="375">
        <v>0</v>
      </c>
      <c r="N85" s="376">
        <v>0</v>
      </c>
      <c r="O85" s="376">
        <v>0</v>
      </c>
      <c r="P85" s="374">
        <v>0</v>
      </c>
    </row>
    <row r="86" spans="4:16" x14ac:dyDescent="0.25">
      <c r="F86" t="s">
        <v>1162</v>
      </c>
      <c r="H86" t="s">
        <v>447</v>
      </c>
      <c r="J86" s="374">
        <v>5.3440000000000003</v>
      </c>
      <c r="K86" s="374">
        <v>0.58199999999999996</v>
      </c>
      <c r="L86" s="374">
        <v>1.2E-2</v>
      </c>
      <c r="M86" s="375">
        <v>3.36</v>
      </c>
      <c r="N86" s="376">
        <v>0</v>
      </c>
      <c r="O86" s="376">
        <v>0</v>
      </c>
      <c r="P86" s="374">
        <v>0</v>
      </c>
    </row>
    <row r="87" spans="4:16" x14ac:dyDescent="0.25">
      <c r="F87" t="s">
        <v>1163</v>
      </c>
      <c r="H87" t="s">
        <v>447</v>
      </c>
      <c r="J87" s="374">
        <v>5.3440000000000003</v>
      </c>
      <c r="K87" s="374">
        <v>0.58199999999999996</v>
      </c>
      <c r="L87" s="374">
        <v>1.2E-2</v>
      </c>
      <c r="M87" s="375">
        <v>7.36</v>
      </c>
      <c r="N87" s="376">
        <v>0</v>
      </c>
      <c r="O87" s="376">
        <v>0</v>
      </c>
      <c r="P87" s="374">
        <v>0</v>
      </c>
    </row>
    <row r="88" spans="4:16" x14ac:dyDescent="0.25">
      <c r="F88" t="s">
        <v>1164</v>
      </c>
      <c r="H88" t="s">
        <v>447</v>
      </c>
      <c r="J88" s="374">
        <v>5.3440000000000003</v>
      </c>
      <c r="K88" s="374">
        <v>0.58199999999999996</v>
      </c>
      <c r="L88" s="374">
        <v>1.2E-2</v>
      </c>
      <c r="M88" s="375">
        <v>11.92</v>
      </c>
      <c r="N88" s="376">
        <v>0</v>
      </c>
      <c r="O88" s="376">
        <v>0</v>
      </c>
      <c r="P88" s="374">
        <v>0</v>
      </c>
    </row>
    <row r="89" spans="4:16" x14ac:dyDescent="0.25">
      <c r="F89" t="s">
        <v>1165</v>
      </c>
      <c r="H89" t="s">
        <v>447</v>
      </c>
      <c r="J89" s="374">
        <v>5.3440000000000003</v>
      </c>
      <c r="K89" s="374">
        <v>0.58199999999999996</v>
      </c>
      <c r="L89" s="374">
        <v>1.2E-2</v>
      </c>
      <c r="M89" s="375">
        <v>21.89</v>
      </c>
      <c r="N89" s="376">
        <v>0</v>
      </c>
      <c r="O89" s="376">
        <v>0</v>
      </c>
      <c r="P89" s="374">
        <v>0</v>
      </c>
    </row>
    <row r="90" spans="4:16" x14ac:dyDescent="0.25">
      <c r="F90" t="s">
        <v>1166</v>
      </c>
      <c r="H90" t="s">
        <v>447</v>
      </c>
      <c r="J90" s="374">
        <v>5.3440000000000003</v>
      </c>
      <c r="K90" s="374">
        <v>0.58199999999999996</v>
      </c>
      <c r="L90" s="374">
        <v>1.2E-2</v>
      </c>
      <c r="M90" s="375">
        <v>57.57</v>
      </c>
      <c r="N90" s="376">
        <v>0</v>
      </c>
      <c r="O90" s="376">
        <v>0</v>
      </c>
      <c r="P90" s="374">
        <v>0</v>
      </c>
    </row>
    <row r="91" spans="4:16" x14ac:dyDescent="0.25">
      <c r="F91" t="s">
        <v>827</v>
      </c>
      <c r="H91" t="s">
        <v>447</v>
      </c>
      <c r="J91" s="374">
        <v>5.3440000000000003</v>
      </c>
      <c r="K91" s="374">
        <v>0.58199999999999996</v>
      </c>
      <c r="L91" s="374">
        <v>1.2E-2</v>
      </c>
      <c r="M91" s="375">
        <v>0</v>
      </c>
      <c r="N91" s="376">
        <v>0</v>
      </c>
      <c r="O91" s="376">
        <v>0</v>
      </c>
      <c r="P91" s="374">
        <v>0</v>
      </c>
    </row>
    <row r="92" spans="4:16" x14ac:dyDescent="0.25">
      <c r="F92" t="s">
        <v>905</v>
      </c>
      <c r="H92" t="s">
        <v>447</v>
      </c>
      <c r="J92" s="374">
        <v>3.976</v>
      </c>
      <c r="K92" s="374">
        <v>0.40699999999999997</v>
      </c>
      <c r="L92" s="374">
        <v>8.0000000000000002E-3</v>
      </c>
      <c r="M92" s="375">
        <v>11.15</v>
      </c>
      <c r="N92" s="376">
        <v>2.04</v>
      </c>
      <c r="O92" s="376">
        <v>2.04</v>
      </c>
      <c r="P92" s="374">
        <v>8.7999999999999995E-2</v>
      </c>
    </row>
    <row r="93" spans="4:16" x14ac:dyDescent="0.25">
      <c r="F93" t="s">
        <v>906</v>
      </c>
      <c r="H93" t="s">
        <v>447</v>
      </c>
      <c r="J93" s="374">
        <v>3.976</v>
      </c>
      <c r="K93" s="374">
        <v>0.40699999999999997</v>
      </c>
      <c r="L93" s="374">
        <v>8.0000000000000002E-3</v>
      </c>
      <c r="M93" s="375">
        <v>117.27</v>
      </c>
      <c r="N93" s="376">
        <v>2.04</v>
      </c>
      <c r="O93" s="376">
        <v>2.04</v>
      </c>
      <c r="P93" s="374">
        <v>8.7999999999999995E-2</v>
      </c>
    </row>
    <row r="94" spans="4:16" x14ac:dyDescent="0.25">
      <c r="F94" t="s">
        <v>907</v>
      </c>
      <c r="H94" t="s">
        <v>447</v>
      </c>
      <c r="J94" s="374">
        <v>3.976</v>
      </c>
      <c r="K94" s="374">
        <v>0.40699999999999997</v>
      </c>
      <c r="L94" s="374">
        <v>8.0000000000000002E-3</v>
      </c>
      <c r="M94" s="375">
        <v>194.06</v>
      </c>
      <c r="N94" s="376">
        <v>2.04</v>
      </c>
      <c r="O94" s="376">
        <v>2.04</v>
      </c>
      <c r="P94" s="374">
        <v>8.7999999999999995E-2</v>
      </c>
    </row>
    <row r="95" spans="4:16" x14ac:dyDescent="0.25">
      <c r="F95" t="s">
        <v>908</v>
      </c>
      <c r="H95" t="s">
        <v>447</v>
      </c>
      <c r="J95" s="374">
        <v>3.976</v>
      </c>
      <c r="K95" s="374">
        <v>0.40699999999999997</v>
      </c>
      <c r="L95" s="374">
        <v>8.0000000000000002E-3</v>
      </c>
      <c r="M95" s="375">
        <v>323.98</v>
      </c>
      <c r="N95" s="376">
        <v>2.04</v>
      </c>
      <c r="O95" s="376">
        <v>2.04</v>
      </c>
      <c r="P95" s="374">
        <v>8.7999999999999995E-2</v>
      </c>
    </row>
    <row r="96" spans="4:16" x14ac:dyDescent="0.25">
      <c r="F96" t="s">
        <v>909</v>
      </c>
      <c r="H96" t="s">
        <v>447</v>
      </c>
      <c r="J96" s="374">
        <v>3.976</v>
      </c>
      <c r="K96" s="374">
        <v>0.40699999999999997</v>
      </c>
      <c r="L96" s="374">
        <v>8.0000000000000002E-3</v>
      </c>
      <c r="M96" s="375">
        <v>672.23</v>
      </c>
      <c r="N96" s="376">
        <v>2.04</v>
      </c>
      <c r="O96" s="376">
        <v>2.04</v>
      </c>
      <c r="P96" s="374">
        <v>8.7999999999999995E-2</v>
      </c>
    </row>
    <row r="97" spans="6:16" x14ac:dyDescent="0.25">
      <c r="F97" t="s">
        <v>910</v>
      </c>
      <c r="H97" t="s">
        <v>447</v>
      </c>
      <c r="J97" s="374">
        <v>3.6389999999999998</v>
      </c>
      <c r="K97" s="374">
        <v>0.3</v>
      </c>
      <c r="L97" s="374">
        <v>7.0000000000000001E-3</v>
      </c>
      <c r="M97" s="375">
        <v>6.59</v>
      </c>
      <c r="N97" s="376">
        <v>4.8099999999999996</v>
      </c>
      <c r="O97" s="376">
        <v>4.8099999999999996</v>
      </c>
      <c r="P97" s="374">
        <v>7.9000000000000001E-2</v>
      </c>
    </row>
    <row r="98" spans="6:16" x14ac:dyDescent="0.25">
      <c r="F98" t="s">
        <v>911</v>
      </c>
      <c r="H98" t="s">
        <v>447</v>
      </c>
      <c r="J98" s="374">
        <v>3.6389999999999998</v>
      </c>
      <c r="K98" s="374">
        <v>0.3</v>
      </c>
      <c r="L98" s="374">
        <v>7.0000000000000001E-3</v>
      </c>
      <c r="M98" s="375">
        <v>183.89</v>
      </c>
      <c r="N98" s="376">
        <v>4.8099999999999996</v>
      </c>
      <c r="O98" s="376">
        <v>4.8099999999999996</v>
      </c>
      <c r="P98" s="374">
        <v>7.9000000000000001E-2</v>
      </c>
    </row>
    <row r="99" spans="6:16" x14ac:dyDescent="0.25">
      <c r="F99" t="s">
        <v>912</v>
      </c>
      <c r="H99" t="s">
        <v>447</v>
      </c>
      <c r="J99" s="377">
        <v>3.6389999999999998</v>
      </c>
      <c r="K99" s="377">
        <v>0.3</v>
      </c>
      <c r="L99" s="377">
        <v>7.0000000000000001E-3</v>
      </c>
      <c r="M99" s="378">
        <v>312.18</v>
      </c>
      <c r="N99" s="379">
        <v>4.8099999999999996</v>
      </c>
      <c r="O99" s="379">
        <v>4.8099999999999996</v>
      </c>
      <c r="P99" s="377">
        <v>7.9000000000000001E-2</v>
      </c>
    </row>
    <row r="100" spans="6:16" x14ac:dyDescent="0.25">
      <c r="F100" t="s">
        <v>913</v>
      </c>
      <c r="H100" t="s">
        <v>447</v>
      </c>
      <c r="J100" s="377">
        <v>3.6389999999999998</v>
      </c>
      <c r="K100" s="377">
        <v>0.3</v>
      </c>
      <c r="L100" s="377">
        <v>7.0000000000000001E-3</v>
      </c>
      <c r="M100" s="378">
        <v>529.24</v>
      </c>
      <c r="N100" s="379">
        <v>4.8099999999999996</v>
      </c>
      <c r="O100" s="379">
        <v>4.8099999999999996</v>
      </c>
      <c r="P100" s="377">
        <v>7.9000000000000001E-2</v>
      </c>
    </row>
    <row r="101" spans="6:16" x14ac:dyDescent="0.25">
      <c r="F101" t="s">
        <v>914</v>
      </c>
      <c r="H101" t="s">
        <v>447</v>
      </c>
      <c r="J101" s="377">
        <v>3.6389999999999998</v>
      </c>
      <c r="K101" s="377">
        <v>0.3</v>
      </c>
      <c r="L101" s="377">
        <v>7.0000000000000001E-3</v>
      </c>
      <c r="M101" s="378">
        <v>1111.07</v>
      </c>
      <c r="N101" s="379">
        <v>4.8099999999999996</v>
      </c>
      <c r="O101" s="379">
        <v>4.8099999999999996</v>
      </c>
      <c r="P101" s="377">
        <v>7.9000000000000001E-2</v>
      </c>
    </row>
    <row r="102" spans="6:16" x14ac:dyDescent="0.25">
      <c r="F102" t="s">
        <v>915</v>
      </c>
      <c r="H102" t="s">
        <v>447</v>
      </c>
      <c r="J102" s="377">
        <v>2.988</v>
      </c>
      <c r="K102" s="377">
        <v>0.217</v>
      </c>
      <c r="L102" s="377">
        <v>5.0000000000000001E-3</v>
      </c>
      <c r="M102" s="378">
        <v>114.05</v>
      </c>
      <c r="N102" s="379">
        <v>6.58</v>
      </c>
      <c r="O102" s="379">
        <v>6.58</v>
      </c>
      <c r="P102" s="377">
        <v>6.2E-2</v>
      </c>
    </row>
    <row r="103" spans="6:16" x14ac:dyDescent="0.25">
      <c r="F103" t="s">
        <v>916</v>
      </c>
      <c r="H103" t="s">
        <v>447</v>
      </c>
      <c r="J103" s="377">
        <v>2.988</v>
      </c>
      <c r="K103" s="377">
        <v>0.217</v>
      </c>
      <c r="L103" s="377">
        <v>5.0000000000000001E-3</v>
      </c>
      <c r="M103" s="378">
        <v>1136.99</v>
      </c>
      <c r="N103" s="379">
        <v>6.58</v>
      </c>
      <c r="O103" s="379">
        <v>6.58</v>
      </c>
      <c r="P103" s="377">
        <v>6.2E-2</v>
      </c>
    </row>
    <row r="104" spans="6:16" x14ac:dyDescent="0.25">
      <c r="F104" t="s">
        <v>917</v>
      </c>
      <c r="H104" t="s">
        <v>447</v>
      </c>
      <c r="J104" s="377">
        <v>2.988</v>
      </c>
      <c r="K104" s="377">
        <v>0.217</v>
      </c>
      <c r="L104" s="377">
        <v>5.0000000000000001E-3</v>
      </c>
      <c r="M104" s="378">
        <v>3357.26</v>
      </c>
      <c r="N104" s="379">
        <v>6.58</v>
      </c>
      <c r="O104" s="379">
        <v>6.58</v>
      </c>
      <c r="P104" s="377">
        <v>6.2E-2</v>
      </c>
    </row>
    <row r="105" spans="6:16" x14ac:dyDescent="0.25">
      <c r="F105" t="s">
        <v>918</v>
      </c>
      <c r="H105" t="s">
        <v>447</v>
      </c>
      <c r="J105" s="377">
        <v>2.988</v>
      </c>
      <c r="K105" s="377">
        <v>0.217</v>
      </c>
      <c r="L105" s="377">
        <v>5.0000000000000001E-3</v>
      </c>
      <c r="M105" s="378">
        <v>6438.27</v>
      </c>
      <c r="N105" s="379">
        <v>6.58</v>
      </c>
      <c r="O105" s="379">
        <v>6.58</v>
      </c>
      <c r="P105" s="377">
        <v>6.2E-2</v>
      </c>
    </row>
    <row r="106" spans="6:16" x14ac:dyDescent="0.25">
      <c r="F106" t="s">
        <v>919</v>
      </c>
      <c r="H106" t="s">
        <v>447</v>
      </c>
      <c r="J106" s="377">
        <v>2.988</v>
      </c>
      <c r="K106" s="377">
        <v>0.217</v>
      </c>
      <c r="L106" s="377">
        <v>5.0000000000000001E-3</v>
      </c>
      <c r="M106" s="378">
        <v>17128.810000000001</v>
      </c>
      <c r="N106" s="379">
        <v>6.58</v>
      </c>
      <c r="O106" s="379">
        <v>6.58</v>
      </c>
      <c r="P106" s="377">
        <v>6.2E-2</v>
      </c>
    </row>
    <row r="107" spans="6:16" x14ac:dyDescent="0.25">
      <c r="F107" t="s">
        <v>836</v>
      </c>
      <c r="H107" t="s">
        <v>447</v>
      </c>
      <c r="J107" s="377">
        <v>13.032999999999999</v>
      </c>
      <c r="K107" s="377">
        <v>1.046</v>
      </c>
      <c r="L107" s="377">
        <v>0.58799999999999997</v>
      </c>
      <c r="M107" s="378">
        <v>0</v>
      </c>
      <c r="N107" s="379">
        <v>0</v>
      </c>
      <c r="O107" s="379">
        <v>0</v>
      </c>
      <c r="P107" s="377">
        <v>0</v>
      </c>
    </row>
    <row r="108" spans="6:16" x14ac:dyDescent="0.25">
      <c r="F108" t="s">
        <v>828</v>
      </c>
      <c r="H108" t="s">
        <v>447</v>
      </c>
      <c r="J108" s="377">
        <v>-8.6829999999999998</v>
      </c>
      <c r="K108" s="377">
        <v>-0.94599999999999995</v>
      </c>
      <c r="L108" s="377">
        <v>-1.9E-2</v>
      </c>
      <c r="M108" s="378">
        <v>0</v>
      </c>
      <c r="N108" s="379">
        <v>0</v>
      </c>
      <c r="O108" s="379">
        <v>0</v>
      </c>
      <c r="P108" s="377">
        <v>0</v>
      </c>
    </row>
    <row r="109" spans="6:16" x14ac:dyDescent="0.25">
      <c r="F109" t="s">
        <v>829</v>
      </c>
      <c r="H109" t="s">
        <v>447</v>
      </c>
      <c r="J109" s="377">
        <v>-7.4909999999999997</v>
      </c>
      <c r="K109" s="377">
        <v>-0.79100000000000004</v>
      </c>
      <c r="L109" s="377">
        <v>-1.6E-2</v>
      </c>
      <c r="M109" s="378">
        <v>0</v>
      </c>
      <c r="N109" s="379">
        <v>0</v>
      </c>
      <c r="O109" s="379">
        <v>0</v>
      </c>
      <c r="P109" s="377">
        <v>0</v>
      </c>
    </row>
    <row r="110" spans="6:16" x14ac:dyDescent="0.25">
      <c r="F110" t="s">
        <v>830</v>
      </c>
      <c r="H110" t="s">
        <v>447</v>
      </c>
      <c r="J110" s="377">
        <v>-8.6829999999999998</v>
      </c>
      <c r="K110" s="377">
        <v>-0.94599999999999995</v>
      </c>
      <c r="L110" s="377">
        <v>-1.9E-2</v>
      </c>
      <c r="M110" s="378">
        <v>0</v>
      </c>
      <c r="N110" s="379">
        <v>0</v>
      </c>
      <c r="O110" s="379">
        <v>0</v>
      </c>
      <c r="P110" s="377">
        <v>0.19800000000000001</v>
      </c>
    </row>
    <row r="111" spans="6:16" x14ac:dyDescent="0.25">
      <c r="F111" t="s">
        <v>839</v>
      </c>
      <c r="H111" t="s">
        <v>447</v>
      </c>
      <c r="J111" s="387">
        <v>0</v>
      </c>
      <c r="K111" s="387">
        <v>0</v>
      </c>
      <c r="L111" s="387">
        <v>0</v>
      </c>
      <c r="M111" s="388">
        <v>0</v>
      </c>
      <c r="N111" s="389">
        <v>0</v>
      </c>
      <c r="O111" s="389">
        <v>0</v>
      </c>
      <c r="P111" s="387">
        <v>0</v>
      </c>
    </row>
    <row r="112" spans="6:16" x14ac:dyDescent="0.25">
      <c r="F112" t="s">
        <v>831</v>
      </c>
      <c r="H112" t="s">
        <v>447</v>
      </c>
      <c r="J112" s="377">
        <v>-7.4909999999999997</v>
      </c>
      <c r="K112" s="377">
        <v>-0.79100000000000004</v>
      </c>
      <c r="L112" s="377">
        <v>-1.6E-2</v>
      </c>
      <c r="M112" s="378">
        <v>0</v>
      </c>
      <c r="N112" s="379">
        <v>0</v>
      </c>
      <c r="O112" s="379">
        <v>0</v>
      </c>
      <c r="P112" s="377">
        <v>0.16300000000000001</v>
      </c>
    </row>
    <row r="113" spans="2:19" x14ac:dyDescent="0.25">
      <c r="F113" t="s">
        <v>838</v>
      </c>
      <c r="H113" t="s">
        <v>447</v>
      </c>
      <c r="J113" s="387">
        <v>0</v>
      </c>
      <c r="K113" s="387">
        <v>0</v>
      </c>
      <c r="L113" s="387">
        <v>0</v>
      </c>
      <c r="M113" s="388">
        <v>0</v>
      </c>
      <c r="N113" s="389">
        <v>0</v>
      </c>
      <c r="O113" s="389">
        <v>0</v>
      </c>
      <c r="P113" s="387">
        <v>0</v>
      </c>
    </row>
    <row r="114" spans="2:19" x14ac:dyDescent="0.25">
      <c r="F114" t="s">
        <v>832</v>
      </c>
      <c r="H114" t="s">
        <v>447</v>
      </c>
      <c r="J114" s="377">
        <v>-4.6870000000000003</v>
      </c>
      <c r="K114" s="377">
        <v>-0.38700000000000001</v>
      </c>
      <c r="L114" s="377">
        <v>-8.0000000000000002E-3</v>
      </c>
      <c r="M114" s="378">
        <v>0</v>
      </c>
      <c r="N114" s="379">
        <v>0</v>
      </c>
      <c r="O114" s="379">
        <v>0</v>
      </c>
      <c r="P114" s="377">
        <v>0.14699999999999999</v>
      </c>
    </row>
    <row r="115" spans="2:19" x14ac:dyDescent="0.25">
      <c r="F115" s="91" t="s">
        <v>837</v>
      </c>
      <c r="G115" s="91"/>
      <c r="H115" s="91" t="s">
        <v>447</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231</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232</v>
      </c>
      <c r="G119" s="6" t="s">
        <v>55</v>
      </c>
      <c r="H119" s="108">
        <f t="array" ref="H119">SUM(IF(ISERROR(J16:P99), 1))</f>
        <v>0</v>
      </c>
      <c r="M119" s="393"/>
      <c r="N119" s="393"/>
      <c r="O119" s="393"/>
    </row>
    <row r="120" spans="2:19" x14ac:dyDescent="0.25">
      <c r="M120" s="393"/>
      <c r="N120" s="393"/>
      <c r="O120" s="393"/>
    </row>
    <row r="121" spans="2:19" x14ac:dyDescent="0.25">
      <c r="B121" s="70" t="s">
        <v>106</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Distribution - One</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142</v>
      </c>
      <c r="C5" s="85"/>
      <c r="D5" s="85"/>
      <c r="E5" s="85"/>
      <c r="F5" s="85"/>
      <c r="G5" s="86" t="s">
        <v>143</v>
      </c>
      <c r="H5" s="133" t="s">
        <v>144</v>
      </c>
      <c r="AN5" s="86" t="s">
        <v>145</v>
      </c>
    </row>
    <row r="7" spans="1:40" x14ac:dyDescent="0.25">
      <c r="B7" s="70" t="s">
        <v>10</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806</v>
      </c>
      <c r="E9"/>
    </row>
    <row r="10" spans="1:40" x14ac:dyDescent="0.25">
      <c r="C10" s="71" t="s">
        <v>807</v>
      </c>
      <c r="E10"/>
    </row>
    <row r="12" spans="1:40" x14ac:dyDescent="0.25">
      <c r="B12" s="70" t="s">
        <v>808</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809</v>
      </c>
      <c r="E16"/>
    </row>
    <row r="17" spans="2:40" x14ac:dyDescent="0.25">
      <c r="D17" s="71"/>
      <c r="E17"/>
    </row>
    <row r="18" spans="2:40" x14ac:dyDescent="0.25">
      <c r="E18" s="60" t="s">
        <v>810</v>
      </c>
    </row>
    <row r="19" spans="2:40" x14ac:dyDescent="0.25">
      <c r="F19" s="93" t="s">
        <v>192</v>
      </c>
      <c r="G19" s="90" t="s">
        <v>277</v>
      </c>
      <c r="H19" s="396">
        <f t="array" ref="H19:H23">TRANSPOSE('Unit costs'!L108:P108)</f>
        <v>0</v>
      </c>
    </row>
    <row r="20" spans="2:40" x14ac:dyDescent="0.25">
      <c r="E20"/>
      <c r="F20" s="89" t="s">
        <v>193</v>
      </c>
      <c r="G20" t="s">
        <v>277</v>
      </c>
      <c r="H20" s="397">
        <v>0</v>
      </c>
    </row>
    <row r="21" spans="2:40" x14ac:dyDescent="0.25">
      <c r="E21"/>
      <c r="F21" s="89" t="s">
        <v>194</v>
      </c>
      <c r="G21" t="s">
        <v>277</v>
      </c>
      <c r="H21" s="397">
        <v>838545539.59515095</v>
      </c>
    </row>
    <row r="22" spans="2:40" x14ac:dyDescent="0.25">
      <c r="E22"/>
      <c r="F22" s="89" t="s">
        <v>195</v>
      </c>
      <c r="G22" t="s">
        <v>277</v>
      </c>
      <c r="H22" s="397">
        <v>249934452.64211208</v>
      </c>
    </row>
    <row r="23" spans="2:40" x14ac:dyDescent="0.25">
      <c r="E23"/>
      <c r="F23" s="96" t="s">
        <v>196</v>
      </c>
      <c r="G23" s="91" t="s">
        <v>277</v>
      </c>
      <c r="H23" s="398">
        <v>0</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1154</v>
      </c>
      <c r="E27"/>
    </row>
    <row r="28" spans="2:40" x14ac:dyDescent="0.25">
      <c r="D28" s="71"/>
      <c r="E28"/>
    </row>
    <row r="29" spans="2:40" x14ac:dyDescent="0.25">
      <c r="D29" s="71"/>
      <c r="E29" t="s">
        <v>320</v>
      </c>
      <c r="G29" t="str">
        <f>'General inputs'!G50</f>
        <v>£</v>
      </c>
      <c r="H29" s="399">
        <f>'General inputs'!H50</f>
        <v>3783233.2213090155</v>
      </c>
    </row>
    <row r="30" spans="2:40" x14ac:dyDescent="0.25">
      <c r="D30" s="71"/>
      <c r="E30"/>
    </row>
    <row r="31" spans="2:40" x14ac:dyDescent="0.25">
      <c r="B31" s="70" t="s">
        <v>811</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894</v>
      </c>
      <c r="E35"/>
    </row>
    <row r="37" spans="3:40" ht="45" x14ac:dyDescent="0.25">
      <c r="C37" s="118"/>
      <c r="E37" s="60" t="s">
        <v>812</v>
      </c>
      <c r="J37" s="312" t="s">
        <v>1161</v>
      </c>
      <c r="K37" s="312" t="s">
        <v>826</v>
      </c>
      <c r="L37" s="312" t="s">
        <v>1162</v>
      </c>
      <c r="M37" s="312" t="s">
        <v>1163</v>
      </c>
      <c r="N37" s="312" t="s">
        <v>1164</v>
      </c>
      <c r="O37" s="312" t="s">
        <v>1165</v>
      </c>
      <c r="P37" s="312" t="s">
        <v>1166</v>
      </c>
      <c r="Q37" s="312" t="s">
        <v>827</v>
      </c>
      <c r="R37" s="312" t="s">
        <v>905</v>
      </c>
      <c r="S37" s="312" t="s">
        <v>906</v>
      </c>
      <c r="T37" s="312" t="s">
        <v>907</v>
      </c>
      <c r="U37" s="312" t="s">
        <v>908</v>
      </c>
      <c r="V37" s="312" t="s">
        <v>909</v>
      </c>
      <c r="W37" s="312" t="s">
        <v>910</v>
      </c>
      <c r="X37" s="312" t="s">
        <v>911</v>
      </c>
      <c r="Y37" s="312" t="s">
        <v>912</v>
      </c>
      <c r="Z37" s="312" t="s">
        <v>913</v>
      </c>
      <c r="AA37" s="312" t="s">
        <v>914</v>
      </c>
      <c r="AB37" s="312" t="s">
        <v>915</v>
      </c>
      <c r="AC37" s="312" t="s">
        <v>916</v>
      </c>
      <c r="AD37" s="312" t="s">
        <v>917</v>
      </c>
      <c r="AE37" s="312" t="s">
        <v>918</v>
      </c>
      <c r="AF37" s="312" t="s">
        <v>919</v>
      </c>
      <c r="AG37" s="312" t="s">
        <v>836</v>
      </c>
      <c r="AH37" s="312" t="s">
        <v>828</v>
      </c>
      <c r="AI37" s="312" t="s">
        <v>829</v>
      </c>
      <c r="AJ37" s="312" t="s">
        <v>830</v>
      </c>
      <c r="AK37" s="312" t="s">
        <v>831</v>
      </c>
      <c r="AL37" s="312" t="s">
        <v>832</v>
      </c>
    </row>
    <row r="38" spans="3:40" x14ac:dyDescent="0.25">
      <c r="C38" s="118"/>
      <c r="D38"/>
      <c r="F38" s="400" t="s">
        <v>156</v>
      </c>
      <c r="G38" s="400" t="s">
        <v>269</v>
      </c>
      <c r="H38" s="264" t="s">
        <v>771</v>
      </c>
      <c r="I38" s="264"/>
      <c r="J38" s="401">
        <f>Rounding!J110</f>
        <v>11.75861140842118</v>
      </c>
      <c r="K38" s="401">
        <f>Rounding!K110</f>
        <v>11.75861140842118</v>
      </c>
      <c r="L38" s="401">
        <f>Rounding!L110</f>
        <v>13.505938712363852</v>
      </c>
      <c r="M38" s="401">
        <f>Rounding!M110</f>
        <v>13.505938712363852</v>
      </c>
      <c r="N38" s="401">
        <f>Rounding!N110</f>
        <v>13.505938712363852</v>
      </c>
      <c r="O38" s="401">
        <f>Rounding!O110</f>
        <v>13.505938712363852</v>
      </c>
      <c r="P38" s="401">
        <f>Rounding!P110</f>
        <v>13.505938712363852</v>
      </c>
      <c r="Q38" s="401">
        <f>Rounding!Q110</f>
        <v>13.505938712363852</v>
      </c>
      <c r="R38" s="401">
        <f>Rounding!R110</f>
        <v>10.050096626636556</v>
      </c>
      <c r="S38" s="401">
        <f>Rounding!S110</f>
        <v>10.050096626636556</v>
      </c>
      <c r="T38" s="401">
        <f>Rounding!T110</f>
        <v>10.050096626636556</v>
      </c>
      <c r="U38" s="401">
        <f>Rounding!U110</f>
        <v>10.050096626636556</v>
      </c>
      <c r="V38" s="401">
        <f>Rounding!V110</f>
        <v>10.050096626636556</v>
      </c>
      <c r="W38" s="401">
        <f>Rounding!W110</f>
        <v>5.5048475396839871</v>
      </c>
      <c r="X38" s="401">
        <f>Rounding!X110</f>
        <v>5.5048475396839871</v>
      </c>
      <c r="Y38" s="401">
        <f>Rounding!Y110</f>
        <v>5.5048475396839871</v>
      </c>
      <c r="Z38" s="401">
        <f>Rounding!Z110</f>
        <v>5.5048475396839871</v>
      </c>
      <c r="AA38" s="401">
        <f>Rounding!AA110</f>
        <v>5.5048475396839871</v>
      </c>
      <c r="AB38" s="401">
        <f>Rounding!AB110</f>
        <v>3.934537906520795</v>
      </c>
      <c r="AC38" s="401">
        <f>Rounding!AC110</f>
        <v>3.934537906520795</v>
      </c>
      <c r="AD38" s="401">
        <f>Rounding!AD110</f>
        <v>3.934537906520795</v>
      </c>
      <c r="AE38" s="401">
        <f>Rounding!AE110</f>
        <v>3.934537906520795</v>
      </c>
      <c r="AF38" s="401">
        <f>Rounding!AF110</f>
        <v>3.934537906520795</v>
      </c>
      <c r="AG38" s="401">
        <f>Rounding!AG110</f>
        <v>32.940291485461451</v>
      </c>
      <c r="AH38" s="401">
        <f>Rounding!AH110</f>
        <v>-8.6828864111564013</v>
      </c>
      <c r="AI38" s="401">
        <f>Rounding!AI110</f>
        <v>-7.4909886820067939</v>
      </c>
      <c r="AJ38" s="401">
        <f>Rounding!AJ110</f>
        <v>-8.6828864111564013</v>
      </c>
      <c r="AK38" s="401">
        <f>Rounding!AL110</f>
        <v>-7.4909886820067939</v>
      </c>
      <c r="AL38" s="401">
        <f>Rounding!AN110</f>
        <v>-4.6866256396748103</v>
      </c>
    </row>
    <row r="39" spans="3:40" x14ac:dyDescent="0.25">
      <c r="C39" s="118"/>
      <c r="D39"/>
      <c r="F39" s="402" t="s">
        <v>157</v>
      </c>
      <c r="G39" s="402" t="s">
        <v>269</v>
      </c>
      <c r="H39" s="266" t="s">
        <v>771</v>
      </c>
      <c r="I39" s="266"/>
      <c r="J39" s="403">
        <f>Rounding!J111</f>
        <v>1.2816580758372413</v>
      </c>
      <c r="K39" s="403">
        <f>Rounding!K111</f>
        <v>1.2816580758372413</v>
      </c>
      <c r="L39" s="403">
        <f>Rounding!L111</f>
        <v>1.4721122096157584</v>
      </c>
      <c r="M39" s="403">
        <f>Rounding!M111</f>
        <v>1.4721122096157584</v>
      </c>
      <c r="N39" s="403">
        <f>Rounding!N111</f>
        <v>1.4721122096157584</v>
      </c>
      <c r="O39" s="403">
        <f>Rounding!O111</f>
        <v>1.4721122096157584</v>
      </c>
      <c r="P39" s="403">
        <f>Rounding!P111</f>
        <v>1.4721122096157584</v>
      </c>
      <c r="Q39" s="403">
        <f>Rounding!Q111</f>
        <v>1.4721122096157584</v>
      </c>
      <c r="R39" s="403">
        <f>Rounding!R111</f>
        <v>1.0294231999620413</v>
      </c>
      <c r="S39" s="403">
        <f>Rounding!S111</f>
        <v>1.0294231999620413</v>
      </c>
      <c r="T39" s="403">
        <f>Rounding!T111</f>
        <v>1.0294231999620413</v>
      </c>
      <c r="U39" s="403">
        <f>Rounding!U111</f>
        <v>1.0294231999620413</v>
      </c>
      <c r="V39" s="403">
        <f>Rounding!V111</f>
        <v>1.0294231999620413</v>
      </c>
      <c r="W39" s="403">
        <f>Rounding!W111</f>
        <v>0.45411164819859201</v>
      </c>
      <c r="X39" s="403">
        <f>Rounding!X111</f>
        <v>0.45411164819859201</v>
      </c>
      <c r="Y39" s="403">
        <f>Rounding!Y111</f>
        <v>0.45411164819859201</v>
      </c>
      <c r="Z39" s="403">
        <f>Rounding!Z111</f>
        <v>0.45411164819859201</v>
      </c>
      <c r="AA39" s="403">
        <f>Rounding!AA111</f>
        <v>0.45411164819859201</v>
      </c>
      <c r="AB39" s="403">
        <f>Rounding!AB111</f>
        <v>0.2863417016086891</v>
      </c>
      <c r="AC39" s="403">
        <f>Rounding!AC111</f>
        <v>0.2863417016086891</v>
      </c>
      <c r="AD39" s="403">
        <f>Rounding!AD111</f>
        <v>0.2863417016086891</v>
      </c>
      <c r="AE39" s="403">
        <f>Rounding!AE111</f>
        <v>0.2863417016086891</v>
      </c>
      <c r="AF39" s="403">
        <f>Rounding!AF111</f>
        <v>0.2863417016086891</v>
      </c>
      <c r="AG39" s="403">
        <f>Rounding!AG111</f>
        <v>2.6434969718178722</v>
      </c>
      <c r="AH39" s="403">
        <f>Rounding!AH111</f>
        <v>-0.94641204678863167</v>
      </c>
      <c r="AI39" s="403">
        <f>Rounding!AI111</f>
        <v>-0.79108714654520906</v>
      </c>
      <c r="AJ39" s="403">
        <f>Rounding!AJ111</f>
        <v>-0.94641204678863167</v>
      </c>
      <c r="AK39" s="403">
        <f>Rounding!AL111</f>
        <v>-0.79108714654520906</v>
      </c>
      <c r="AL39" s="403">
        <f>Rounding!AN111</f>
        <v>-0.38661403033964564</v>
      </c>
    </row>
    <row r="40" spans="3:40" x14ac:dyDescent="0.25">
      <c r="C40" s="118"/>
      <c r="D40"/>
      <c r="F40" s="402" t="s">
        <v>158</v>
      </c>
      <c r="G40" s="402" t="s">
        <v>269</v>
      </c>
      <c r="H40" s="266" t="s">
        <v>771</v>
      </c>
      <c r="I40" s="266"/>
      <c r="J40" s="403">
        <f>Rounding!J112</f>
        <v>2.5851809433392624E-2</v>
      </c>
      <c r="K40" s="403">
        <f>Rounding!K112</f>
        <v>2.5851809433392624E-2</v>
      </c>
      <c r="L40" s="403">
        <f>Rounding!L112</f>
        <v>2.9693383145654183E-2</v>
      </c>
      <c r="M40" s="403">
        <f>Rounding!M112</f>
        <v>2.9693383145654183E-2</v>
      </c>
      <c r="N40" s="403">
        <f>Rounding!N112</f>
        <v>2.9693383145654183E-2</v>
      </c>
      <c r="O40" s="403">
        <f>Rounding!O112</f>
        <v>2.9693383145654183E-2</v>
      </c>
      <c r="P40" s="403">
        <f>Rounding!P112</f>
        <v>2.9693383145654183E-2</v>
      </c>
      <c r="Q40" s="403">
        <f>Rounding!Q112</f>
        <v>2.9693383145654183E-2</v>
      </c>
      <c r="R40" s="403">
        <f>Rounding!R112</f>
        <v>2.109399736806291E-2</v>
      </c>
      <c r="S40" s="403">
        <f>Rounding!S112</f>
        <v>2.109399736806291E-2</v>
      </c>
      <c r="T40" s="403">
        <f>Rounding!T112</f>
        <v>2.109399736806291E-2</v>
      </c>
      <c r="U40" s="403">
        <f>Rounding!U112</f>
        <v>2.109399736806291E-2</v>
      </c>
      <c r="V40" s="403">
        <f>Rounding!V112</f>
        <v>2.109399736806291E-2</v>
      </c>
      <c r="W40" s="403">
        <f>Rounding!W112</f>
        <v>9.8889062887688589E-3</v>
      </c>
      <c r="X40" s="403">
        <f>Rounding!X112</f>
        <v>9.8889062887688589E-3</v>
      </c>
      <c r="Y40" s="403">
        <f>Rounding!Y112</f>
        <v>9.8889062887688589E-3</v>
      </c>
      <c r="Z40" s="403">
        <f>Rounding!Z112</f>
        <v>9.8889062887688589E-3</v>
      </c>
      <c r="AA40" s="403">
        <f>Rounding!AA112</f>
        <v>9.8889062887688589E-3</v>
      </c>
      <c r="AB40" s="403">
        <f>Rounding!AB112</f>
        <v>6.487944767554584E-3</v>
      </c>
      <c r="AC40" s="403">
        <f>Rounding!AC112</f>
        <v>6.487944767554584E-3</v>
      </c>
      <c r="AD40" s="403">
        <f>Rounding!AD112</f>
        <v>6.487944767554584E-3</v>
      </c>
      <c r="AE40" s="403">
        <f>Rounding!AE112</f>
        <v>6.487944767554584E-3</v>
      </c>
      <c r="AF40" s="403">
        <f>Rounding!AF112</f>
        <v>6.487944767554584E-3</v>
      </c>
      <c r="AG40" s="403">
        <f>Rounding!AG112</f>
        <v>1.4871623866756594</v>
      </c>
      <c r="AH40" s="403">
        <f>Rounding!AH112</f>
        <v>-1.9089696651787637E-2</v>
      </c>
      <c r="AI40" s="403">
        <f>Rounding!AI112</f>
        <v>-1.608370245700632E-2</v>
      </c>
      <c r="AJ40" s="403">
        <f>Rounding!AJ112</f>
        <v>-1.9089696651787637E-2</v>
      </c>
      <c r="AK40" s="403">
        <f>Rounding!AL112</f>
        <v>-1.608370245700632E-2</v>
      </c>
      <c r="AL40" s="403">
        <f>Rounding!AN112</f>
        <v>-8.4190527398232233E-3</v>
      </c>
    </row>
    <row r="41" spans="3:40" x14ac:dyDescent="0.25">
      <c r="C41" s="118"/>
      <c r="D41"/>
      <c r="F41" s="402" t="s">
        <v>159</v>
      </c>
      <c r="G41" s="402" t="s">
        <v>270</v>
      </c>
      <c r="H41" t="s">
        <v>771</v>
      </c>
      <c r="J41" s="399">
        <f>Rounding!J113</f>
        <v>14.709393755177203</v>
      </c>
      <c r="K41" s="399">
        <f>Rounding!K113</f>
        <v>0</v>
      </c>
      <c r="L41" s="399">
        <f>Rounding!L113</f>
        <v>8.4039402273991612</v>
      </c>
      <c r="M41" s="399">
        <f>Rounding!M113</f>
        <v>18.509208888890527</v>
      </c>
      <c r="N41" s="399">
        <f>Rounding!N113</f>
        <v>30.042133344613706</v>
      </c>
      <c r="O41" s="399">
        <f>Rounding!O113</f>
        <v>55.237273357969073</v>
      </c>
      <c r="P41" s="399">
        <f>Rounding!P113</f>
        <v>145.41278072605428</v>
      </c>
      <c r="Q41" s="399">
        <f>Rounding!Q113</f>
        <v>0</v>
      </c>
      <c r="R41" s="399">
        <f>Rounding!R113</f>
        <v>28.092337095321017</v>
      </c>
      <c r="S41" s="399">
        <f>Rounding!S113</f>
        <v>296.32002027682188</v>
      </c>
      <c r="T41" s="399">
        <f>Rounding!T113</f>
        <v>490.3941774259543</v>
      </c>
      <c r="U41" s="399">
        <f>Rounding!U113</f>
        <v>818.76449748162236</v>
      </c>
      <c r="V41" s="399">
        <f>Rounding!V113</f>
        <v>1698.9849327635634</v>
      </c>
      <c r="W41" s="399">
        <f>Rounding!W113</f>
        <v>9.9149425042309467</v>
      </c>
      <c r="X41" s="399">
        <f>Rounding!X113</f>
        <v>278.14262568573196</v>
      </c>
      <c r="Y41" s="399">
        <f>Rounding!Y113</f>
        <v>472.21678283486426</v>
      </c>
      <c r="Z41" s="399">
        <f>Rounding!Z113</f>
        <v>800.58710289053226</v>
      </c>
      <c r="AA41" s="399">
        <f>Rounding!AA113</f>
        <v>1680.8075381724734</v>
      </c>
      <c r="AB41" s="399">
        <f>Rounding!AB113</f>
        <v>150.1181966569537</v>
      </c>
      <c r="AC41" s="399">
        <f>Rounding!AC113</f>
        <v>1497.0531098041865</v>
      </c>
      <c r="AD41" s="399">
        <f>Rounding!AD113</f>
        <v>4420.5451565759631</v>
      </c>
      <c r="AE41" s="399">
        <f>Rounding!AE113</f>
        <v>8477.3986959409813</v>
      </c>
      <c r="AF41" s="399">
        <f>Rounding!AF113</f>
        <v>22553.939913335373</v>
      </c>
      <c r="AG41" s="399">
        <f>Rounding!AG113</f>
        <v>0</v>
      </c>
      <c r="AH41" s="399">
        <f>Rounding!AH113</f>
        <v>0</v>
      </c>
      <c r="AI41" s="399">
        <f>Rounding!AI113</f>
        <v>0</v>
      </c>
      <c r="AJ41" s="399">
        <f>Rounding!AJ113</f>
        <v>0</v>
      </c>
      <c r="AK41" s="399">
        <f>Rounding!AL113</f>
        <v>0</v>
      </c>
      <c r="AL41" s="399">
        <f>Rounding!AN113</f>
        <v>109.61913218665811</v>
      </c>
    </row>
    <row r="42" spans="3:40" x14ac:dyDescent="0.25">
      <c r="C42" s="118"/>
      <c r="D42"/>
      <c r="F42" s="402" t="s">
        <v>160</v>
      </c>
      <c r="G42" s="402" t="s">
        <v>271</v>
      </c>
      <c r="H42" t="s">
        <v>771</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5.157426726498894</v>
      </c>
      <c r="S42" s="399">
        <f>Rounding!S114</f>
        <v>5.157426726498894</v>
      </c>
      <c r="T42" s="399">
        <f>Rounding!T114</f>
        <v>5.157426726498894</v>
      </c>
      <c r="U42" s="399">
        <f>Rounding!U114</f>
        <v>5.157426726498894</v>
      </c>
      <c r="V42" s="399">
        <f>Rounding!V114</f>
        <v>5.157426726498894</v>
      </c>
      <c r="W42" s="399">
        <f>Rounding!W114</f>
        <v>7.2722766253928866</v>
      </c>
      <c r="X42" s="399">
        <f>Rounding!X114</f>
        <v>7.2722766253928866</v>
      </c>
      <c r="Y42" s="399">
        <f>Rounding!Y114</f>
        <v>7.2722766253928866</v>
      </c>
      <c r="Z42" s="399">
        <f>Rounding!Z114</f>
        <v>7.2722766253928866</v>
      </c>
      <c r="AA42" s="399">
        <f>Rounding!AA114</f>
        <v>7.2722766253928866</v>
      </c>
      <c r="AB42" s="399">
        <f>Rounding!AB114</f>
        <v>8.657780801769924</v>
      </c>
      <c r="AC42" s="399">
        <f>Rounding!AC114</f>
        <v>8.657780801769924</v>
      </c>
      <c r="AD42" s="399">
        <f>Rounding!AD114</f>
        <v>8.657780801769924</v>
      </c>
      <c r="AE42" s="399">
        <f>Rounding!AE114</f>
        <v>8.657780801769924</v>
      </c>
      <c r="AF42" s="399">
        <f>Rounding!AF114</f>
        <v>8.657780801769924</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161</v>
      </c>
      <c r="G43" s="402" t="s">
        <v>271</v>
      </c>
      <c r="H43" t="s">
        <v>771</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5.157426726498894</v>
      </c>
      <c r="S43" s="399">
        <f>Rounding!S115</f>
        <v>5.157426726498894</v>
      </c>
      <c r="T43" s="399">
        <f>Rounding!T115</f>
        <v>5.157426726498894</v>
      </c>
      <c r="U43" s="399">
        <f>Rounding!U115</f>
        <v>5.157426726498894</v>
      </c>
      <c r="V43" s="399">
        <f>Rounding!V115</f>
        <v>5.157426726498894</v>
      </c>
      <c r="W43" s="399">
        <f>Rounding!W115</f>
        <v>7.2722766253928866</v>
      </c>
      <c r="X43" s="399">
        <f>Rounding!X115</f>
        <v>7.2722766253928866</v>
      </c>
      <c r="Y43" s="399">
        <f>Rounding!Y115</f>
        <v>7.2722766253928866</v>
      </c>
      <c r="Z43" s="399">
        <f>Rounding!Z115</f>
        <v>7.2722766253928866</v>
      </c>
      <c r="AA43" s="399">
        <f>Rounding!AA115</f>
        <v>7.2722766253928866</v>
      </c>
      <c r="AB43" s="399">
        <f>Rounding!AB115</f>
        <v>8.657780801769924</v>
      </c>
      <c r="AC43" s="399">
        <f>Rounding!AC115</f>
        <v>8.657780801769924</v>
      </c>
      <c r="AD43" s="399">
        <f>Rounding!AD115</f>
        <v>8.657780801769924</v>
      </c>
      <c r="AE43" s="399">
        <f>Rounding!AE115</f>
        <v>8.657780801769924</v>
      </c>
      <c r="AF43" s="399">
        <f>Rounding!AF115</f>
        <v>8.657780801769924</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162</v>
      </c>
      <c r="G44" s="404" t="s">
        <v>272</v>
      </c>
      <c r="H44" s="268" t="s">
        <v>771</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0.22303605893423567</v>
      </c>
      <c r="S44" s="405">
        <f>Rounding!S116</f>
        <v>0.22303605893423567</v>
      </c>
      <c r="T44" s="405">
        <f>Rounding!T116</f>
        <v>0.22303605893423567</v>
      </c>
      <c r="U44" s="405">
        <f>Rounding!U116</f>
        <v>0.22303605893423567</v>
      </c>
      <c r="V44" s="405">
        <f>Rounding!V116</f>
        <v>0.22303605893423567</v>
      </c>
      <c r="W44" s="405">
        <f>Rounding!W116</f>
        <v>0.11885406809484486</v>
      </c>
      <c r="X44" s="405">
        <f>Rounding!X116</f>
        <v>0.11885406809484486</v>
      </c>
      <c r="Y44" s="405">
        <f>Rounding!Y116</f>
        <v>0.11885406809484486</v>
      </c>
      <c r="Z44" s="405">
        <f>Rounding!Z116</f>
        <v>0.11885406809484486</v>
      </c>
      <c r="AA44" s="405">
        <f>Rounding!AA116</f>
        <v>0.11885406809484486</v>
      </c>
      <c r="AB44" s="405">
        <f>Rounding!AB116</f>
        <v>8.1602449681017319E-2</v>
      </c>
      <c r="AC44" s="405">
        <f>Rounding!AC116</f>
        <v>8.1602449681017319E-2</v>
      </c>
      <c r="AD44" s="405">
        <f>Rounding!AD116</f>
        <v>8.1602449681017319E-2</v>
      </c>
      <c r="AE44" s="405">
        <f>Rounding!AE116</f>
        <v>8.1602449681017319E-2</v>
      </c>
      <c r="AF44" s="405">
        <f>Rounding!AF116</f>
        <v>8.1602449681017319E-2</v>
      </c>
      <c r="AG44" s="405">
        <f>Rounding!AG116</f>
        <v>0</v>
      </c>
      <c r="AH44" s="405">
        <f>Rounding!AH116</f>
        <v>0</v>
      </c>
      <c r="AI44" s="405">
        <f>Rounding!AI116</f>
        <v>0</v>
      </c>
      <c r="AJ44" s="405">
        <f>Rounding!AJ116</f>
        <v>0.19787136915965053</v>
      </c>
      <c r="AK44" s="405">
        <f>Rounding!AL116</f>
        <v>0.16337193391660304</v>
      </c>
      <c r="AL44" s="405">
        <f>Rounding!AN116</f>
        <v>0.14703085117058712</v>
      </c>
    </row>
    <row r="45" spans="3:40" x14ac:dyDescent="0.25">
      <c r="D45"/>
      <c r="E45"/>
      <c r="F45" s="406"/>
    </row>
    <row r="46" spans="3:40" x14ac:dyDescent="0.25">
      <c r="D46" s="71" t="s">
        <v>893</v>
      </c>
      <c r="E46"/>
    </row>
    <row r="48" spans="3:40" ht="60" customHeight="1" x14ac:dyDescent="0.25">
      <c r="D48"/>
      <c r="E48"/>
      <c r="F48" s="406"/>
      <c r="J48" s="312" t="s">
        <v>1161</v>
      </c>
      <c r="K48" s="312" t="s">
        <v>826</v>
      </c>
      <c r="L48" s="312" t="s">
        <v>1162</v>
      </c>
      <c r="M48" s="312" t="s">
        <v>1163</v>
      </c>
      <c r="N48" s="312" t="s">
        <v>1164</v>
      </c>
      <c r="O48" s="312" t="s">
        <v>1165</v>
      </c>
      <c r="P48" s="312" t="s">
        <v>1166</v>
      </c>
      <c r="Q48" s="312" t="s">
        <v>827</v>
      </c>
      <c r="R48" s="312" t="s">
        <v>905</v>
      </c>
      <c r="S48" s="312" t="s">
        <v>906</v>
      </c>
      <c r="T48" s="312" t="s">
        <v>907</v>
      </c>
      <c r="U48" s="312" t="s">
        <v>908</v>
      </c>
      <c r="V48" s="312" t="s">
        <v>909</v>
      </c>
      <c r="W48" s="312" t="s">
        <v>910</v>
      </c>
      <c r="X48" s="312" t="s">
        <v>911</v>
      </c>
      <c r="Y48" s="312" t="s">
        <v>912</v>
      </c>
      <c r="Z48" s="312" t="s">
        <v>913</v>
      </c>
      <c r="AA48" s="312" t="s">
        <v>914</v>
      </c>
      <c r="AB48" s="312" t="s">
        <v>915</v>
      </c>
      <c r="AC48" s="312" t="s">
        <v>916</v>
      </c>
      <c r="AD48" s="312" t="s">
        <v>917</v>
      </c>
      <c r="AE48" s="312" t="s">
        <v>918</v>
      </c>
      <c r="AF48" s="312" t="s">
        <v>919</v>
      </c>
      <c r="AG48" s="312" t="s">
        <v>836</v>
      </c>
      <c r="AH48" s="312" t="s">
        <v>828</v>
      </c>
      <c r="AI48" s="312" t="s">
        <v>829</v>
      </c>
      <c r="AJ48" s="312" t="s">
        <v>830</v>
      </c>
      <c r="AK48" s="312" t="s">
        <v>831</v>
      </c>
      <c r="AL48" s="312" t="s">
        <v>832</v>
      </c>
    </row>
    <row r="49" spans="2:40" x14ac:dyDescent="0.25">
      <c r="D49"/>
      <c r="E49" t="s">
        <v>890</v>
      </c>
      <c r="F49" s="406"/>
      <c r="G49" t="s">
        <v>270</v>
      </c>
      <c r="J49" s="397">
        <f>Rounding!J47</f>
        <v>0.11930926463144902</v>
      </c>
      <c r="K49" s="397">
        <f>Rounding!K47</f>
        <v>0</v>
      </c>
      <c r="L49" s="397">
        <f>Rounding!L47</f>
        <v>3.8296726546582768E-2</v>
      </c>
      <c r="M49" s="397">
        <f>Rounding!M47</f>
        <v>3.8296726546582768E-2</v>
      </c>
      <c r="N49" s="397">
        <f>Rounding!N47</f>
        <v>3.8296726546582768E-2</v>
      </c>
      <c r="O49" s="397">
        <f>Rounding!O47</f>
        <v>3.8296726546582768E-2</v>
      </c>
      <c r="P49" s="397">
        <f>Rounding!P47</f>
        <v>3.8296726546582768E-2</v>
      </c>
      <c r="Q49" s="397">
        <f>Rounding!Q47</f>
        <v>0</v>
      </c>
      <c r="R49" s="397">
        <f>Rounding!R47</f>
        <v>3.8296726546582768E-2</v>
      </c>
      <c r="S49" s="397">
        <f>Rounding!S47</f>
        <v>3.8296726546582768E-2</v>
      </c>
      <c r="T49" s="397">
        <f>Rounding!T47</f>
        <v>3.8296726546582768E-2</v>
      </c>
      <c r="U49" s="397">
        <f>Rounding!U47</f>
        <v>3.8296726546582768E-2</v>
      </c>
      <c r="V49" s="397">
        <f>Rounding!V47</f>
        <v>3.8296726546582768E-2</v>
      </c>
      <c r="W49" s="397">
        <f>Rounding!W47</f>
        <v>3.8296726546582768E-2</v>
      </c>
      <c r="X49" s="397">
        <f>Rounding!X47</f>
        <v>3.8296726546582768E-2</v>
      </c>
      <c r="Y49" s="397">
        <f>Rounding!Y47</f>
        <v>3.8296726546582768E-2</v>
      </c>
      <c r="Z49" s="397">
        <f>Rounding!Z47</f>
        <v>3.8296726546582768E-2</v>
      </c>
      <c r="AA49" s="397">
        <f>Rounding!AA47</f>
        <v>3.8296726546582768E-2</v>
      </c>
      <c r="AB49" s="397">
        <f>Rounding!AB47</f>
        <v>3.8296726546582768E-2</v>
      </c>
      <c r="AC49" s="397">
        <f>Rounding!AC47</f>
        <v>3.8296726546582768E-2</v>
      </c>
      <c r="AD49" s="397">
        <f>Rounding!AD47</f>
        <v>3.8296726546582768E-2</v>
      </c>
      <c r="AE49" s="397">
        <f>Rounding!AE47</f>
        <v>3.8296726546582768E-2</v>
      </c>
      <c r="AF49" s="397">
        <f>Rounding!AF47</f>
        <v>3.8296726546582768E-2</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813</v>
      </c>
      <c r="E53"/>
    </row>
    <row r="55" spans="2:40" x14ac:dyDescent="0.25">
      <c r="D55"/>
      <c r="F55" s="2"/>
      <c r="G55" s="2"/>
      <c r="H55" s="2"/>
      <c r="I55" s="2"/>
      <c r="J55" s="102" t="s">
        <v>191</v>
      </c>
      <c r="K55" s="102" t="s">
        <v>192</v>
      </c>
      <c r="L55" s="102" t="s">
        <v>193</v>
      </c>
      <c r="M55" s="102" t="s">
        <v>194</v>
      </c>
      <c r="N55" s="102" t="s">
        <v>195</v>
      </c>
      <c r="O55" s="102" t="s">
        <v>196</v>
      </c>
      <c r="P55" s="102" t="s">
        <v>197</v>
      </c>
      <c r="Q55" s="102" t="s">
        <v>198</v>
      </c>
      <c r="R55" s="102" t="s">
        <v>199</v>
      </c>
      <c r="S55" s="102" t="s">
        <v>375</v>
      </c>
      <c r="T55" s="102" t="s">
        <v>376</v>
      </c>
    </row>
    <row r="56" spans="2:40" x14ac:dyDescent="0.25">
      <c r="D56"/>
      <c r="E56" s="407" t="s">
        <v>824</v>
      </c>
      <c r="F56" s="407"/>
      <c r="G56" s="96" t="s">
        <v>167</v>
      </c>
      <c r="H56" s="91"/>
      <c r="I56" s="91"/>
      <c r="J56" s="408"/>
      <c r="K56" s="409">
        <f t="array" ref="K56:O56">TRANSPOSE('System peak demand'!H227:H231)</f>
        <v>0.1160000000000001</v>
      </c>
      <c r="L56" s="409">
        <v>0.1160000000000001</v>
      </c>
      <c r="M56" s="409">
        <v>0.26107999999999998</v>
      </c>
      <c r="N56" s="409">
        <v>0.26107999999999998</v>
      </c>
      <c r="O56" s="409">
        <v>0.1160000000000001</v>
      </c>
      <c r="P56" s="408"/>
      <c r="Q56" s="408"/>
      <c r="R56" s="408"/>
      <c r="S56" s="408"/>
      <c r="T56" s="408"/>
    </row>
    <row r="57" spans="2:40" x14ac:dyDescent="0.25">
      <c r="D57"/>
      <c r="E57" s="410" t="s">
        <v>825</v>
      </c>
      <c r="F57" s="410"/>
      <c r="G57" s="151" t="s">
        <v>518</v>
      </c>
      <c r="H57" s="151"/>
      <c r="I57" s="151"/>
      <c r="J57" s="411">
        <f t="array" ref="J57:O57">TRANSPOSE('System peak demand'!H154:H159)</f>
        <v>2638962.1762212235</v>
      </c>
      <c r="K57" s="411">
        <v>0</v>
      </c>
      <c r="L57" s="411">
        <v>0</v>
      </c>
      <c r="M57" s="411">
        <v>2631068.9693132853</v>
      </c>
      <c r="N57" s="411">
        <v>2586425.5331998491</v>
      </c>
      <c r="O57" s="411">
        <v>0</v>
      </c>
      <c r="P57" s="237"/>
      <c r="Q57" s="237"/>
      <c r="R57" s="237"/>
      <c r="S57" s="237"/>
      <c r="T57" s="237"/>
    </row>
    <row r="58" spans="2:40" x14ac:dyDescent="0.25">
      <c r="D58"/>
      <c r="E58" s="410" t="s">
        <v>814</v>
      </c>
      <c r="F58" s="410"/>
      <c r="G58" s="151" t="s">
        <v>277</v>
      </c>
      <c r="H58" s="151"/>
      <c r="I58" s="151"/>
      <c r="J58" s="237"/>
      <c r="K58" s="411">
        <f>'Unit costs'!L108</f>
        <v>0</v>
      </c>
      <c r="L58" s="411">
        <f>'Unit costs'!M108</f>
        <v>0</v>
      </c>
      <c r="M58" s="411">
        <f>'Unit costs'!N108</f>
        <v>838545539.59515095</v>
      </c>
      <c r="N58" s="411">
        <f>'Unit costs'!O108</f>
        <v>249934452.64211208</v>
      </c>
      <c r="O58" s="411">
        <f>'Unit costs'!P108</f>
        <v>0</v>
      </c>
      <c r="P58" s="411">
        <f>'Unit costs'!Q108</f>
        <v>1103922244.520592</v>
      </c>
      <c r="Q58" s="411">
        <f>'Unit costs'!R108</f>
        <v>245713560.15419126</v>
      </c>
      <c r="R58" s="411">
        <f>'Unit costs'!S108</f>
        <v>324553163.85239941</v>
      </c>
      <c r="S58" s="411">
        <f>'Unit costs'!T108</f>
        <v>847882332.50550389</v>
      </c>
      <c r="T58" s="411">
        <f>'Unit costs'!U108</f>
        <v>19036858.31721276</v>
      </c>
    </row>
    <row r="59" spans="2:40" x14ac:dyDescent="0.25">
      <c r="D59"/>
      <c r="E59" s="412" t="s">
        <v>391</v>
      </c>
      <c r="F59" s="412"/>
      <c r="G59" s="90" t="s">
        <v>283</v>
      </c>
      <c r="H59" s="90"/>
      <c r="I59" s="90"/>
      <c r="J59" s="396">
        <f>'Load &amp; loss characteristics'!K29</f>
        <v>1</v>
      </c>
      <c r="K59" s="396">
        <f>'Load &amp; loss characteristics'!L29</f>
        <v>1</v>
      </c>
      <c r="L59" s="396">
        <f>'Load &amp; loss characteristics'!M29</f>
        <v>1</v>
      </c>
      <c r="M59" s="396">
        <f>'Load &amp; loss characteristics'!N29</f>
        <v>1.0029999999999999</v>
      </c>
      <c r="N59" s="396">
        <f>'Load &amp; loss characteristics'!O29</f>
        <v>1.0129999999999999</v>
      </c>
      <c r="O59" s="396">
        <f>'Load &amp; loss characteristics'!P29</f>
        <v>1.0129999999999999</v>
      </c>
      <c r="P59" s="112"/>
      <c r="Q59" s="112"/>
      <c r="R59" s="112"/>
      <c r="S59" s="112"/>
      <c r="T59" s="112"/>
    </row>
    <row r="60" spans="2:40" x14ac:dyDescent="0.25">
      <c r="D60"/>
      <c r="E60"/>
      <c r="F60" s="406"/>
    </row>
    <row r="61" spans="2:40" x14ac:dyDescent="0.25">
      <c r="B61" s="70" t="s">
        <v>815</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816</v>
      </c>
      <c r="E65"/>
    </row>
    <row r="67" spans="3:40" ht="45" x14ac:dyDescent="0.25">
      <c r="F67" s="2"/>
      <c r="G67" s="2"/>
      <c r="H67" s="2"/>
      <c r="I67" s="2"/>
      <c r="J67" s="312" t="s">
        <v>1161</v>
      </c>
      <c r="K67" s="312" t="s">
        <v>826</v>
      </c>
      <c r="L67" s="312" t="s">
        <v>1162</v>
      </c>
      <c r="M67" s="312" t="s">
        <v>1163</v>
      </c>
      <c r="N67" s="312" t="s">
        <v>1164</v>
      </c>
      <c r="O67" s="312" t="s">
        <v>1165</v>
      </c>
      <c r="P67" s="312" t="s">
        <v>1166</v>
      </c>
      <c r="Q67" s="312" t="s">
        <v>827</v>
      </c>
      <c r="R67" s="312" t="s">
        <v>905</v>
      </c>
      <c r="S67" s="312" t="s">
        <v>906</v>
      </c>
      <c r="T67" s="312" t="s">
        <v>907</v>
      </c>
      <c r="U67" s="312" t="s">
        <v>908</v>
      </c>
      <c r="V67" s="312" t="s">
        <v>909</v>
      </c>
      <c r="W67" s="312" t="s">
        <v>910</v>
      </c>
      <c r="X67" s="312" t="s">
        <v>911</v>
      </c>
      <c r="Y67" s="312" t="s">
        <v>912</v>
      </c>
      <c r="Z67" s="312" t="s">
        <v>913</v>
      </c>
      <c r="AA67" s="312" t="s">
        <v>914</v>
      </c>
      <c r="AB67" s="312" t="s">
        <v>915</v>
      </c>
      <c r="AC67" s="312" t="s">
        <v>916</v>
      </c>
      <c r="AD67" s="312" t="s">
        <v>917</v>
      </c>
      <c r="AE67" s="312" t="s">
        <v>918</v>
      </c>
      <c r="AF67" s="312" t="s">
        <v>919</v>
      </c>
      <c r="AG67" s="312" t="s">
        <v>836</v>
      </c>
      <c r="AH67" s="312" t="s">
        <v>828</v>
      </c>
      <c r="AI67" s="312" t="s">
        <v>829</v>
      </c>
      <c r="AJ67" s="312" t="s">
        <v>830</v>
      </c>
      <c r="AK67" s="312" t="s">
        <v>831</v>
      </c>
      <c r="AL67" s="312" t="s">
        <v>832</v>
      </c>
    </row>
    <row r="68" spans="3:40" x14ac:dyDescent="0.25">
      <c r="C68" s="118"/>
      <c r="D68"/>
      <c r="E68" s="91" t="s">
        <v>769</v>
      </c>
      <c r="F68" s="91"/>
      <c r="G68" s="139" t="s">
        <v>277</v>
      </c>
      <c r="H68" s="91" t="s">
        <v>771</v>
      </c>
      <c r="I68" s="91"/>
      <c r="J68" s="398">
        <f>'Net revenue summary'!J140</f>
        <v>115.79809685917331</v>
      </c>
      <c r="K68" s="398">
        <f>'Net revenue summary'!K140</f>
        <v>3.5387815565007066</v>
      </c>
      <c r="L68" s="398">
        <f>'Net revenue summary'!L140</f>
        <v>93.134898272866423</v>
      </c>
      <c r="M68" s="398">
        <f>'Net revenue summary'!M140</f>
        <v>145.63595305648684</v>
      </c>
      <c r="N68" s="398">
        <f>'Net revenue summary'!N140</f>
        <v>276.59746093960752</v>
      </c>
      <c r="O68" s="398">
        <f>'Net revenue summary'!O140</f>
        <v>563.24011616010102</v>
      </c>
      <c r="P68" s="398">
        <f>'Net revenue summary'!P140</f>
        <v>1588.1894580832845</v>
      </c>
      <c r="Q68" s="398">
        <f>'Net revenue summary'!Q140</f>
        <v>36.52874649941657</v>
      </c>
      <c r="R68" s="398">
        <f>'Net revenue summary'!R140</f>
        <v>974.86842856883334</v>
      </c>
      <c r="S68" s="398">
        <f>'Net revenue summary'!S140</f>
        <v>3773.4371662544318</v>
      </c>
      <c r="T68" s="398">
        <f>'Net revenue summary'!T140</f>
        <v>6716.6672718008185</v>
      </c>
      <c r="U68" s="398">
        <f>'Net revenue summary'!U140</f>
        <v>10990.440763521245</v>
      </c>
      <c r="V68" s="398">
        <f>'Net revenue summary'!V140</f>
        <v>22415.451234537031</v>
      </c>
      <c r="W68" s="398">
        <f>'Net revenue summary'!W140</f>
        <v>538.95241829635211</v>
      </c>
      <c r="X68" s="398">
        <f>'Net revenue summary'!X140</f>
        <v>4404.7501430953298</v>
      </c>
      <c r="Y68" s="398">
        <f>'Net revenue summary'!Y140</f>
        <v>7137.9947988360018</v>
      </c>
      <c r="Z68" s="398">
        <f>'Net revenue summary'!Z140</f>
        <v>11764.198055775512</v>
      </c>
      <c r="AA68" s="398">
        <f>'Net revenue summary'!AA140</f>
        <v>26897.829501565036</v>
      </c>
      <c r="AB68" s="398">
        <f>'Net revenue summary'!AB140</f>
        <v>4159.395247781692</v>
      </c>
      <c r="AC68" s="398">
        <f>'Net revenue summary'!AC140</f>
        <v>14900.940124744386</v>
      </c>
      <c r="AD68" s="398">
        <f>'Net revenue summary'!AD140</f>
        <v>46658.074042743268</v>
      </c>
      <c r="AE68" s="398">
        <f>'Net revenue summary'!AE140</f>
        <v>90717.067794500254</v>
      </c>
      <c r="AF68" s="398">
        <f>'Net revenue summary'!AF140</f>
        <v>235304.34950413916</v>
      </c>
      <c r="AG68" s="398">
        <f>'Net revenue summary'!AG140</f>
        <v>1463.7554924601054</v>
      </c>
      <c r="AH68" s="398">
        <f>'Net revenue summary'!AH140</f>
        <v>-87.948770878777722</v>
      </c>
      <c r="AI68" s="398">
        <f>'Net revenue summary'!AI140</f>
        <v>-819.34475368262133</v>
      </c>
      <c r="AJ68" s="398">
        <f>'Net revenue summary'!AJ140</f>
        <v>-1389.780173387978</v>
      </c>
      <c r="AK68" s="398">
        <f>'Net revenue summary'!AL140</f>
        <v>-796.99048111111085</v>
      </c>
      <c r="AL68" s="398">
        <f>'Net revenue summary'!AN140</f>
        <v>-26419.21461285172</v>
      </c>
    </row>
    <row r="69" spans="3:40" x14ac:dyDescent="0.25">
      <c r="C69" s="118"/>
      <c r="D69"/>
      <c r="E69" s="151" t="s">
        <v>774</v>
      </c>
      <c r="F69" s="151"/>
      <c r="G69" s="360" t="s">
        <v>269</v>
      </c>
      <c r="H69" s="413" t="s">
        <v>771</v>
      </c>
      <c r="I69" s="413"/>
      <c r="J69" s="414">
        <f>'Net revenue summary'!J146</f>
        <v>3.9183041858960967</v>
      </c>
      <c r="K69" s="414">
        <f>'Net revenue summary'!K146</f>
        <v>0.17720103580909272</v>
      </c>
      <c r="L69" s="414">
        <f>'Net revenue summary'!L146</f>
        <v>3.0332769082460835</v>
      </c>
      <c r="M69" s="414">
        <f>'Net revenue summary'!M146</f>
        <v>3.7936880079004154</v>
      </c>
      <c r="N69" s="414">
        <f>'Net revenue summary'!N146</f>
        <v>3.366099809350108</v>
      </c>
      <c r="O69" s="414">
        <f>'Net revenue summary'!O146</f>
        <v>3.1630980061451606</v>
      </c>
      <c r="P69" s="414">
        <f>'Net revenue summary'!P146</f>
        <v>3.0492595383778114</v>
      </c>
      <c r="Q69" s="414">
        <f>'Net revenue summary'!Q146</f>
        <v>0.45193726931942246</v>
      </c>
      <c r="R69" s="414">
        <f>'Net revenue summary'!R146</f>
        <v>19.464189416315492</v>
      </c>
      <c r="S69" s="414">
        <f>'Net revenue summary'!S146</f>
        <v>3.6396999346057926</v>
      </c>
      <c r="T69" s="414">
        <f>'Net revenue summary'!T146</f>
        <v>3.7466642613861532</v>
      </c>
      <c r="U69" s="414">
        <f>'Net revenue summary'!U146</f>
        <v>3.6523475490931649</v>
      </c>
      <c r="V69" s="414">
        <f>'Net revenue summary'!V146</f>
        <v>3.7762536908189683</v>
      </c>
      <c r="W69" s="414">
        <f>'Net revenue summary'!W146</f>
        <v>36.594808916706789</v>
      </c>
      <c r="X69" s="414">
        <f>'Net revenue summary'!X146</f>
        <v>3.0576026057062737</v>
      </c>
      <c r="Y69" s="414">
        <f>'Net revenue summary'!Y146</f>
        <v>2.6618453688428718</v>
      </c>
      <c r="Z69" s="414">
        <f>'Net revenue summary'!Z146</f>
        <v>2.3326523752745163</v>
      </c>
      <c r="AA69" s="414">
        <f>'Net revenue summary'!AA146</f>
        <v>2.4575394164766466</v>
      </c>
      <c r="AB69" s="414">
        <f>'Net revenue summary'!AB146</f>
        <v>10.666776038131003</v>
      </c>
      <c r="AC69" s="414">
        <f>'Net revenue summary'!AC146</f>
        <v>2.9216593449446995</v>
      </c>
      <c r="AD69" s="414">
        <f>'Net revenue summary'!AD146</f>
        <v>2.829604711260211</v>
      </c>
      <c r="AE69" s="414">
        <f>'Net revenue summary'!AE146</f>
        <v>2.7941889145663161</v>
      </c>
      <c r="AF69" s="414">
        <f>'Net revenue summary'!AF146</f>
        <v>2.6572855029512779</v>
      </c>
      <c r="AG69" s="414">
        <f>'Net revenue summary'!AG146</f>
        <v>3.3795915114065012</v>
      </c>
      <c r="AH69" s="414">
        <f>'Net revenue summary'!AH146</f>
        <v>-1.5384255547317964</v>
      </c>
      <c r="AI69" s="414">
        <f>'Net revenue summary'!AI146</f>
        <v>-1.1924674896306073</v>
      </c>
      <c r="AJ69" s="414">
        <f>'Net revenue summary'!AJ146</f>
        <v>-1.2136229367544553</v>
      </c>
      <c r="AK69" s="414">
        <f>'Net revenue summary'!AL146</f>
        <v>-1.0230753573247107</v>
      </c>
      <c r="AL69" s="414">
        <f>'Net revenue summary'!AN146</f>
        <v>-0.67539584569837141</v>
      </c>
    </row>
    <row r="70" spans="3:40" x14ac:dyDescent="0.25">
      <c r="C70" s="118"/>
      <c r="D70"/>
      <c r="E70" s="151" t="s">
        <v>783</v>
      </c>
      <c r="F70" s="151"/>
      <c r="G70" s="151" t="s">
        <v>167</v>
      </c>
      <c r="H70" s="151" t="s">
        <v>771</v>
      </c>
      <c r="I70" s="151"/>
      <c r="J70" s="415">
        <f>'Net revenue summary'!J172</f>
        <v>-0.14477252442203259</v>
      </c>
      <c r="K70" s="415">
        <f>'Net revenue summary'!K172</f>
        <v>0.26395101955437994</v>
      </c>
      <c r="L70" s="415">
        <f>'Net revenue summary'!L172</f>
        <v>0.31577206859196344</v>
      </c>
      <c r="M70" s="415">
        <f>'Net revenue summary'!M172</f>
        <v>-0.18638283768866429</v>
      </c>
      <c r="N70" s="415">
        <f>'Net revenue summary'!N172</f>
        <v>-0.23844255221340263</v>
      </c>
      <c r="O70" s="415">
        <f>'Net revenue summary'!O172</f>
        <v>-0.27021317598976158</v>
      </c>
      <c r="P70" s="415">
        <f>'Net revenue summary'!P172</f>
        <v>-0.27489994673701745</v>
      </c>
      <c r="Q70" s="415">
        <f>'Net revenue summary'!Q172</f>
        <v>0.10931314720197181</v>
      </c>
      <c r="R70" s="415">
        <f>'Net revenue summary'!R172</f>
        <v>0.64977192622530433</v>
      </c>
      <c r="S70" s="415">
        <f>'Net revenue summary'!S172</f>
        <v>-0.13071453507452138</v>
      </c>
      <c r="T70" s="415">
        <f>'Net revenue summary'!T172</f>
        <v>-0.10740602745122703</v>
      </c>
      <c r="U70" s="415">
        <f>'Net revenue summary'!U172</f>
        <v>-0.12464277120459234</v>
      </c>
      <c r="V70" s="415">
        <f>'Net revenue summary'!V172</f>
        <v>-0.15622197943052132</v>
      </c>
      <c r="W70" s="415">
        <f>'Net revenue summary'!W172</f>
        <v>0.73346514936580898</v>
      </c>
      <c r="X70" s="415">
        <f>'Net revenue summary'!X172</f>
        <v>-0.20562583401187182</v>
      </c>
      <c r="Y70" s="415">
        <f>'Net revenue summary'!Y172</f>
        <v>-0.21183239152635028</v>
      </c>
      <c r="Z70" s="415">
        <f>'Net revenue summary'!Z172</f>
        <v>-0.1582259515771943</v>
      </c>
      <c r="AA70" s="415">
        <f>'Net revenue summary'!AA172</f>
        <v>-0.14023985378839476</v>
      </c>
      <c r="AB70" s="415">
        <f>'Net revenue summary'!AB172</f>
        <v>1.3529876953034397</v>
      </c>
      <c r="AC70" s="415">
        <f>'Net revenue summary'!AC172</f>
        <v>-0.26320525117256194</v>
      </c>
      <c r="AD70" s="415">
        <f>'Net revenue summary'!AD172</f>
        <v>-0.2195846437428649</v>
      </c>
      <c r="AE70" s="415">
        <f>'Net revenue summary'!AE172</f>
        <v>-0.22930574178613564</v>
      </c>
      <c r="AF70" s="415">
        <f>'Net revenue summary'!AF172</f>
        <v>-0.26718973719033634</v>
      </c>
      <c r="AG70" s="415">
        <f>'Net revenue summary'!AG172</f>
        <v>-0.26380846555193438</v>
      </c>
      <c r="AH70" s="415">
        <f>'Net revenue summary'!AH172</f>
        <v>10.724326050086546</v>
      </c>
      <c r="AI70" s="415">
        <f>'Net revenue summary'!AI172</f>
        <v>4.8786424003869442</v>
      </c>
      <c r="AJ70" s="415">
        <f>'Net revenue summary'!AJ172</f>
        <v>0.323994183204938</v>
      </c>
      <c r="AK70" s="415">
        <f>'Net revenue summary'!AL172</f>
        <v>0.32742398680757556</v>
      </c>
      <c r="AL70" s="415">
        <f>'Net revenue summary'!AN172</f>
        <v>0.28210234674029555</v>
      </c>
    </row>
    <row r="71" spans="3:40" x14ac:dyDescent="0.25">
      <c r="C71" s="118"/>
      <c r="D71"/>
      <c r="E71" s="90" t="s">
        <v>784</v>
      </c>
      <c r="F71" s="90"/>
      <c r="G71" s="90" t="s">
        <v>269</v>
      </c>
      <c r="H71" s="264" t="s">
        <v>771</v>
      </c>
      <c r="I71" s="264"/>
      <c r="J71" s="416">
        <f>'Net revenue summary'!J174</f>
        <v>-0.66328877947032272</v>
      </c>
      <c r="K71" s="416">
        <f>'Net revenue summary'!K174</f>
        <v>3.700491027286195E-2</v>
      </c>
      <c r="L71" s="416">
        <f>'Net revenue summary'!L174</f>
        <v>0.72795596349304614</v>
      </c>
      <c r="M71" s="416">
        <f>'Net revenue summary'!M174</f>
        <v>-0.86905533581574979</v>
      </c>
      <c r="N71" s="416">
        <f>'Net revenue summary'!N174</f>
        <v>-1.0539210559613585</v>
      </c>
      <c r="O71" s="416">
        <f>'Net revenue summary'!O174</f>
        <v>-1.1711786649019786</v>
      </c>
      <c r="P71" s="416">
        <f>'Net revenue summary'!P174</f>
        <v>-1.1560353373514174</v>
      </c>
      <c r="Q71" s="416">
        <f>'Net revenue summary'!Q174</f>
        <v>4.4534480973005622E-2</v>
      </c>
      <c r="R71" s="416">
        <f>'Net revenue summary'!R174</f>
        <v>7.6660801704818766</v>
      </c>
      <c r="S71" s="416">
        <f>'Net revenue summary'!S174</f>
        <v>-0.54730201292799463</v>
      </c>
      <c r="T71" s="416">
        <f>'Net revenue summary'!T174</f>
        <v>-0.45083692797061065</v>
      </c>
      <c r="U71" s="416">
        <f>'Net revenue summary'!U174</f>
        <v>-0.52006050209665133</v>
      </c>
      <c r="V71" s="416">
        <f>'Net revenue summary'!V174</f>
        <v>-0.69915761258321907</v>
      </c>
      <c r="W71" s="416">
        <f>'Net revenue summary'!W174</f>
        <v>15.484024583895103</v>
      </c>
      <c r="X71" s="416">
        <f>'Net revenue summary'!X174</f>
        <v>-0.79146844496529245</v>
      </c>
      <c r="Y71" s="416">
        <f>'Net revenue summary'!Y174</f>
        <v>-0.71541264103367008</v>
      </c>
      <c r="Z71" s="416">
        <f>'Net revenue summary'!Z174</f>
        <v>-0.43846224823413477</v>
      </c>
      <c r="AA71" s="416">
        <f>'Net revenue summary'!AA174</f>
        <v>-0.40086176355641107</v>
      </c>
      <c r="AB71" s="416">
        <f>'Net revenue summary'!AB174</f>
        <v>6.1334858473570035</v>
      </c>
      <c r="AC71" s="416">
        <f>'Net revenue summary'!AC174</f>
        <v>-1.0437046178065748</v>
      </c>
      <c r="AD71" s="416">
        <f>'Net revenue summary'!AD174</f>
        <v>-0.79616288617786268</v>
      </c>
      <c r="AE71" s="416">
        <f>'Net revenue summary'!AE174</f>
        <v>-0.83135894022377443</v>
      </c>
      <c r="AF71" s="416">
        <f>'Net revenue summary'!AF174</f>
        <v>-0.96887209582878653</v>
      </c>
      <c r="AG71" s="416">
        <f>'Net revenue summary'!AG174</f>
        <v>-1.2110501263572828</v>
      </c>
      <c r="AH71" s="416">
        <f>'Net revenue summary'!AH174</f>
        <v>-1.4072090099035808</v>
      </c>
      <c r="AI71" s="416">
        <f>'Net revenue summary'!AI174</f>
        <v>-0.98962006187209683</v>
      </c>
      <c r="AJ71" s="416">
        <f>'Net revenue summary'!AJ174</f>
        <v>-0.29698527161253724</v>
      </c>
      <c r="AK71" s="416">
        <f>'Net revenue summary'!AL174</f>
        <v>-0.25235299017419416</v>
      </c>
      <c r="AL71" s="416">
        <f>'Net revenue summary'!AN174</f>
        <v>-0.14860806825178621</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817</v>
      </c>
      <c r="E75"/>
    </row>
    <row r="76" spans="3:40" x14ac:dyDescent="0.25">
      <c r="D76" s="71" t="s">
        <v>818</v>
      </c>
      <c r="E76"/>
    </row>
    <row r="78" spans="3:40" ht="45" x14ac:dyDescent="0.25">
      <c r="E78"/>
      <c r="J78" s="312" t="s">
        <v>1161</v>
      </c>
      <c r="K78" s="312" t="s">
        <v>826</v>
      </c>
      <c r="L78" s="312" t="s">
        <v>1162</v>
      </c>
      <c r="M78" s="312" t="s">
        <v>1163</v>
      </c>
      <c r="N78" s="312" t="s">
        <v>1164</v>
      </c>
      <c r="O78" s="312" t="s">
        <v>1165</v>
      </c>
      <c r="P78" s="312" t="s">
        <v>1166</v>
      </c>
      <c r="Q78" s="312" t="s">
        <v>827</v>
      </c>
      <c r="R78" s="312" t="s">
        <v>905</v>
      </c>
      <c r="S78" s="312" t="s">
        <v>906</v>
      </c>
      <c r="T78" s="312" t="s">
        <v>907</v>
      </c>
      <c r="U78" s="312" t="s">
        <v>908</v>
      </c>
      <c r="V78" s="312" t="s">
        <v>909</v>
      </c>
      <c r="W78" s="312" t="s">
        <v>910</v>
      </c>
      <c r="X78" s="312" t="s">
        <v>911</v>
      </c>
      <c r="Y78" s="312" t="s">
        <v>912</v>
      </c>
      <c r="Z78" s="312" t="s">
        <v>913</v>
      </c>
      <c r="AA78" s="312" t="s">
        <v>914</v>
      </c>
      <c r="AB78" s="312" t="s">
        <v>915</v>
      </c>
      <c r="AC78" s="312" t="s">
        <v>916</v>
      </c>
      <c r="AD78" s="312" t="s">
        <v>917</v>
      </c>
      <c r="AE78" s="312" t="s">
        <v>918</v>
      </c>
      <c r="AF78" s="312" t="s">
        <v>919</v>
      </c>
      <c r="AG78" s="312" t="s">
        <v>836</v>
      </c>
      <c r="AH78" s="312" t="s">
        <v>828</v>
      </c>
      <c r="AI78" s="312" t="s">
        <v>829</v>
      </c>
      <c r="AJ78" s="312" t="s">
        <v>830</v>
      </c>
      <c r="AK78" s="312" t="s">
        <v>831</v>
      </c>
      <c r="AL78" s="312" t="s">
        <v>832</v>
      </c>
    </row>
    <row r="79" spans="3:40" x14ac:dyDescent="0.25">
      <c r="C79" s="118"/>
      <c r="D79"/>
      <c r="E79" s="90" t="s">
        <v>792</v>
      </c>
      <c r="F79" s="90"/>
      <c r="G79" s="93" t="s">
        <v>167</v>
      </c>
      <c r="H79" s="90" t="s">
        <v>446</v>
      </c>
      <c r="I79" s="90"/>
      <c r="J79" s="417">
        <f>'Net revenue summary'!J206</f>
        <v>0.39879900367787713</v>
      </c>
      <c r="K79" s="417">
        <f>'Net revenue summary'!K206</f>
        <v>0.39813557783266446</v>
      </c>
      <c r="L79" s="417">
        <f>'Net revenue summary'!L206</f>
        <v>0.39955031907565897</v>
      </c>
      <c r="M79" s="417">
        <f>'Net revenue summary'!M206</f>
        <v>0.39989119004906193</v>
      </c>
      <c r="N79" s="417">
        <f>'Net revenue summary'!N206</f>
        <v>0.40013343727343831</v>
      </c>
      <c r="O79" s="417">
        <f>'Net revenue summary'!O206</f>
        <v>0.40022192987314226</v>
      </c>
      <c r="P79" s="417">
        <f>'Net revenue summary'!P206</f>
        <v>0.40024538329194298</v>
      </c>
      <c r="Q79" s="417">
        <f>'Net revenue summary'!Q206</f>
        <v>0.40019973655600588</v>
      </c>
      <c r="R79" s="417">
        <f>'Net revenue summary'!R206</f>
        <v>0.40095091168115277</v>
      </c>
      <c r="S79" s="417">
        <f>'Net revenue summary'!S206</f>
        <v>0.40050714000528775</v>
      </c>
      <c r="T79" s="417">
        <f>'Net revenue summary'!T206</f>
        <v>0.40053559964656765</v>
      </c>
      <c r="U79" s="417">
        <f>'Net revenue summary'!U206</f>
        <v>0.40054129025671115</v>
      </c>
      <c r="V79" s="417">
        <f>'Net revenue summary'!V206</f>
        <v>0.4005536963703577</v>
      </c>
      <c r="W79" s="418"/>
      <c r="X79" s="418"/>
      <c r="Y79" s="418"/>
      <c r="Z79" s="418"/>
      <c r="AA79" s="418"/>
      <c r="AB79" s="418"/>
      <c r="AC79" s="418"/>
      <c r="AD79" s="418"/>
      <c r="AE79" s="418"/>
      <c r="AF79" s="418"/>
      <c r="AG79" s="417">
        <f>'Net revenue summary'!AG206</f>
        <v>0.40026889314847169</v>
      </c>
      <c r="AH79" s="417">
        <f>'Net revenue summary'!AH206</f>
        <v>-1.6158104966343675E-16</v>
      </c>
      <c r="AI79" s="418"/>
      <c r="AJ79" s="417">
        <f>'Net revenue summary'!AJ206</f>
        <v>0</v>
      </c>
      <c r="AK79" s="418"/>
      <c r="AL79" s="418"/>
    </row>
    <row r="80" spans="3:40" x14ac:dyDescent="0.25">
      <c r="C80" s="118"/>
      <c r="D80"/>
      <c r="E80" s="91" t="s">
        <v>793</v>
      </c>
      <c r="F80" s="91"/>
      <c r="G80" s="96" t="s">
        <v>167</v>
      </c>
      <c r="H80" s="91" t="s">
        <v>447</v>
      </c>
      <c r="I80" s="91"/>
      <c r="J80" s="419">
        <f>'Net revenue summary'!J207</f>
        <v>0.60213570861753218</v>
      </c>
      <c r="K80" s="419">
        <f>'Net revenue summary'!K207</f>
        <v>0.60593966948543554</v>
      </c>
      <c r="L80" s="419">
        <f>'Net revenue summary'!L207</f>
        <v>0.60357431449866739</v>
      </c>
      <c r="M80" s="419">
        <f>'Net revenue summary'!M207</f>
        <v>0.60386026308172747</v>
      </c>
      <c r="N80" s="419">
        <f>'Net revenue summary'!N207</f>
        <v>0.60413381627435792</v>
      </c>
      <c r="O80" s="419">
        <f>'Net revenue summary'!O207</f>
        <v>0.60426494459848079</v>
      </c>
      <c r="P80" s="419">
        <f>'Net revenue summary'!P207</f>
        <v>0.604333729844169</v>
      </c>
      <c r="Q80" s="419">
        <f>'Net revenue summary'!Q207</f>
        <v>0.60427021083912735</v>
      </c>
      <c r="R80" s="419">
        <f>'Net revenue summary'!R207</f>
        <v>0.60453757901630667</v>
      </c>
      <c r="S80" s="419">
        <f>'Net revenue summary'!S207</f>
        <v>0.60448946395086711</v>
      </c>
      <c r="T80" s="419">
        <f>'Net revenue summary'!T207</f>
        <v>0.60449778493557349</v>
      </c>
      <c r="U80" s="419">
        <f>'Net revenue summary'!U207</f>
        <v>0.60450371525166835</v>
      </c>
      <c r="V80" s="419">
        <f>'Net revenue summary'!V207</f>
        <v>0.60451015868468017</v>
      </c>
      <c r="W80" s="419">
        <f>'Net revenue summary'!W207</f>
        <v>0.33832289491903206</v>
      </c>
      <c r="X80" s="419">
        <f>'Net revenue summary'!X207</f>
        <v>0.33856121687480706</v>
      </c>
      <c r="Y80" s="419">
        <f>'Net revenue summary'!Y207</f>
        <v>0.33863375639700033</v>
      </c>
      <c r="Z80" s="419">
        <f>'Net revenue summary'!Z207</f>
        <v>0.338633375366659</v>
      </c>
      <c r="AA80" s="419">
        <f>'Net revenue summary'!AA207</f>
        <v>0.33863069100811816</v>
      </c>
      <c r="AB80" s="419">
        <f>'Net revenue summary'!AB207</f>
        <v>0.24023791757774937</v>
      </c>
      <c r="AC80" s="419">
        <f>'Net revenue summary'!AC207</f>
        <v>0.2403614446143848</v>
      </c>
      <c r="AD80" s="419">
        <f>'Net revenue summary'!AD207</f>
        <v>0.24035391053673333</v>
      </c>
      <c r="AE80" s="419">
        <f>'Net revenue summary'!AE207</f>
        <v>0.24035092593907478</v>
      </c>
      <c r="AF80" s="419">
        <f>'Net revenue summary'!AF207</f>
        <v>0.24034962364728621</v>
      </c>
      <c r="AG80" s="419">
        <f>'Net revenue summary'!AG207</f>
        <v>0.60438507058657409</v>
      </c>
      <c r="AH80" s="419">
        <f>'Net revenue summary'!AH207</f>
        <v>-1.6158104966343675E-16</v>
      </c>
      <c r="AI80" s="419">
        <f>'Net revenue summary'!AI207</f>
        <v>1.3875336018280454E-16</v>
      </c>
      <c r="AJ80" s="419">
        <f>'Net revenue summary'!AJ207</f>
        <v>0</v>
      </c>
      <c r="AK80" s="419">
        <f>'Net revenue summary'!AL207</f>
        <v>0</v>
      </c>
      <c r="AL80" s="419">
        <f>'Net revenue summary'!AN207</f>
        <v>-1.5144772691515257E-2</v>
      </c>
    </row>
    <row r="82" spans="2:40" x14ac:dyDescent="0.25">
      <c r="B82" s="70" t="s">
        <v>231</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232</v>
      </c>
      <c r="G84" s="6" t="s">
        <v>55</v>
      </c>
      <c r="H84" s="108">
        <f t="array" ref="H84">SUM(IF(ISERROR(H19:AL81), 1))</f>
        <v>0</v>
      </c>
    </row>
    <row r="86" spans="2:40" x14ac:dyDescent="0.25">
      <c r="B86" s="70" t="s">
        <v>106</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activeCell="A4" sqref="A4"/>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Distribution - One</v>
      </c>
    </row>
    <row r="3" spans="1:9" s="5" customFormat="1" x14ac:dyDescent="0.25">
      <c r="A3" s="5" t="str">
        <f>Cover!D2&amp;" - "&amp;Cover!D8&amp;" v"&amp;Cover!D10&amp;" - "&amp;Cover!D19</f>
        <v>CDCM charging model - Release for charge setting v10 - 2025/26</v>
      </c>
    </row>
    <row r="5" spans="1:9" customFormat="1" x14ac:dyDescent="0.25">
      <c r="A5" s="56"/>
      <c r="B5" s="49" t="s">
        <v>107</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106</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activeCell="A4" sqref="A4"/>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Distribution - One</v>
      </c>
    </row>
    <row r="3" spans="1:7" s="5" customFormat="1" x14ac:dyDescent="0.25">
      <c r="A3" s="5" t="str">
        <f>Cover!D2&amp;" - "&amp;Cover!D8&amp;" v"&amp;Cover!D10&amp;" - "&amp;Cover!D19</f>
        <v>CDCM charging model - Release for charge setting v10 - 2025/26</v>
      </c>
    </row>
    <row r="5" spans="1:7" x14ac:dyDescent="0.25">
      <c r="B5" s="70" t="s">
        <v>10</v>
      </c>
      <c r="C5" s="70"/>
      <c r="D5" s="70"/>
      <c r="E5" s="70"/>
      <c r="F5" s="70"/>
      <c r="G5" s="70"/>
    </row>
    <row r="7" spans="1:7" x14ac:dyDescent="0.25">
      <c r="C7" s="71" t="s">
        <v>108</v>
      </c>
    </row>
    <row r="8" spans="1:7" x14ac:dyDescent="0.25">
      <c r="C8" s="71" t="s">
        <v>109</v>
      </c>
    </row>
    <row r="10" spans="1:7" x14ac:dyDescent="0.25">
      <c r="B10" s="70" t="s">
        <v>110</v>
      </c>
      <c r="C10" s="70"/>
      <c r="D10" s="70"/>
      <c r="E10" s="70"/>
      <c r="F10" s="70"/>
      <c r="G10" s="70"/>
    </row>
    <row r="12" spans="1:7" x14ac:dyDescent="0.25">
      <c r="C12" s="71" t="s">
        <v>111</v>
      </c>
    </row>
    <row r="14" spans="1:7" ht="15.75" thickBot="1" x14ac:dyDescent="0.3">
      <c r="F14" s="72" t="s">
        <v>112</v>
      </c>
      <c r="G14" s="73" t="s">
        <v>113</v>
      </c>
    </row>
    <row r="15" spans="1:7" ht="16.5" thickTop="1" thickBot="1" x14ac:dyDescent="0.3">
      <c r="F15" s="74" t="s">
        <v>114</v>
      </c>
    </row>
    <row r="16" spans="1:7" ht="15.75" thickTop="1" x14ac:dyDescent="0.25">
      <c r="F16" s="74" t="s">
        <v>115</v>
      </c>
      <c r="G16" s="75" t="str">
        <f>'Version control'!$B$5</f>
        <v>Model version</v>
      </c>
    </row>
    <row r="17" spans="6:7" x14ac:dyDescent="0.25">
      <c r="F17" s="76" t="s">
        <v>116</v>
      </c>
      <c r="G17" s="75" t="str">
        <f>'Version control'!$B$17</f>
        <v>Version log</v>
      </c>
    </row>
    <row r="18" spans="6:7" x14ac:dyDescent="0.25">
      <c r="F18" s="76" t="s">
        <v>116</v>
      </c>
      <c r="G18" s="75" t="str">
        <f>'Version control'!$B$36</f>
        <v>Model checks</v>
      </c>
    </row>
    <row r="19" spans="6:7" ht="15.75" thickBot="1" x14ac:dyDescent="0.3">
      <c r="F19" s="76" t="s">
        <v>116</v>
      </c>
      <c r="G19" s="75" t="str">
        <f>'Version control'!$B$65</f>
        <v>Version log lists</v>
      </c>
    </row>
    <row r="20" spans="6:7" ht="16.5" thickTop="1" thickBot="1" x14ac:dyDescent="0.3">
      <c r="F20" s="74" t="s">
        <v>107</v>
      </c>
      <c r="G20" s="75" t="str">
        <f>'Model map'!$B$5</f>
        <v>Model map</v>
      </c>
    </row>
    <row r="21" spans="6:7" ht="16.5" thickTop="1" thickBot="1" x14ac:dyDescent="0.3">
      <c r="F21" s="74" t="s">
        <v>117</v>
      </c>
      <c r="G21" s="75" t="str">
        <f>'Named ranges'!$B$5</f>
        <v>List of named ranges</v>
      </c>
    </row>
    <row r="22" spans="6:7" ht="16.5" thickTop="1" thickBot="1" x14ac:dyDescent="0.3">
      <c r="F22" s="77" t="s">
        <v>53</v>
      </c>
      <c r="G22" s="75" t="str">
        <f>'Fixed inputs'!$B$11</f>
        <v>Fixed inputs</v>
      </c>
    </row>
    <row r="23" spans="6:7" ht="16.5" thickTop="1" thickBot="1" x14ac:dyDescent="0.3">
      <c r="F23" s="77" t="s">
        <v>56</v>
      </c>
      <c r="G23" s="75" t="str">
        <f>'Inputs by customer type'!$B$11</f>
        <v>Inputs by customer type</v>
      </c>
    </row>
    <row r="24" spans="6:7" ht="16.5" thickTop="1" thickBot="1" x14ac:dyDescent="0.3">
      <c r="F24" s="77" t="s">
        <v>58</v>
      </c>
      <c r="G24" s="75" t="str">
        <f>'Inputs by network level'!$B$11</f>
        <v>Inputs by network level</v>
      </c>
    </row>
    <row r="25" spans="6:7" ht="16.5" thickTop="1" thickBot="1" x14ac:dyDescent="0.3">
      <c r="F25" s="77" t="s">
        <v>60</v>
      </c>
      <c r="G25" s="75" t="str">
        <f>'General inputs'!$B$11</f>
        <v>General inputs</v>
      </c>
    </row>
    <row r="26" spans="6:7" ht="16.5" thickTop="1" thickBot="1" x14ac:dyDescent="0.3">
      <c r="F26" s="78" t="s">
        <v>120</v>
      </c>
      <c r="G26" s="75" t="str">
        <f>'Standing charge factors'!$B$17</f>
        <v>Adjustments to standing charges</v>
      </c>
    </row>
    <row r="27" spans="6:7" ht="15.75" thickTop="1" x14ac:dyDescent="0.25">
      <c r="F27" s="78" t="s">
        <v>64</v>
      </c>
      <c r="G27" s="75" t="str">
        <f>'Load &amp; loss characteristics'!$B$13</f>
        <v>Load and loss characteristics</v>
      </c>
    </row>
    <row r="28" spans="6:7" ht="15.75" thickBot="1" x14ac:dyDescent="0.3">
      <c r="F28" s="79" t="s">
        <v>116</v>
      </c>
      <c r="G28" s="75" t="str">
        <f>'Load &amp; loss characteristics'!$B$31</f>
        <v>User loss factor adjustments</v>
      </c>
    </row>
    <row r="29" spans="6:7" ht="16.5" thickTop="1" thickBot="1" x14ac:dyDescent="0.3">
      <c r="F29" s="78" t="s">
        <v>66</v>
      </c>
      <c r="G29" s="75" t="str">
        <f>'Customer contributions'!$B$12</f>
        <v>Customer contributions</v>
      </c>
    </row>
    <row r="30" spans="6:7" ht="15.75" thickTop="1" x14ac:dyDescent="0.25">
      <c r="F30" s="78" t="s">
        <v>68</v>
      </c>
      <c r="G30" s="75" t="str">
        <f>'Volume adjustments'!$B$13</f>
        <v>LDNO discounts</v>
      </c>
    </row>
    <row r="31" spans="6:7" x14ac:dyDescent="0.25">
      <c r="F31" s="79" t="s">
        <v>116</v>
      </c>
      <c r="G31" s="75" t="str">
        <f>'Volume adjustments'!$B$51</f>
        <v>Volume discounting</v>
      </c>
    </row>
    <row r="32" spans="6:7" ht="15.75" thickBot="1" x14ac:dyDescent="0.3">
      <c r="F32" s="79" t="s">
        <v>116</v>
      </c>
      <c r="G32" s="75" t="str">
        <f>'Volume adjustments'!$B$310</f>
        <v>Volume discounting for revenue matching</v>
      </c>
    </row>
    <row r="33" spans="6:7" ht="15.75" thickTop="1" x14ac:dyDescent="0.25">
      <c r="F33" s="78" t="s">
        <v>70</v>
      </c>
      <c r="G33" s="75" t="str">
        <f>'Pseudo-load coefficients'!$B$13</f>
        <v>Step 1: Ratio of coincidence to load factor assuming units evenly spread within time bands, and peak falls in Red period</v>
      </c>
    </row>
    <row r="34" spans="6:7" x14ac:dyDescent="0.25">
      <c r="F34" s="79" t="s">
        <v>116</v>
      </c>
      <c r="G34" s="75" t="str">
        <f>'Pseudo-load coefficients'!$B$56</f>
        <v>Step 2: Calculate correction factor</v>
      </c>
    </row>
    <row r="35" spans="6:7" x14ac:dyDescent="0.25">
      <c r="F35" s="79" t="s">
        <v>116</v>
      </c>
      <c r="G35" s="75" t="str">
        <f>'Pseudo-load coefficients'!$B$95</f>
        <v>Step 3: Ratio of coincidence factor (to network asset peak) to load factor, given peaking probabilities, multiplied by correction factor</v>
      </c>
    </row>
    <row r="36" spans="6:7" ht="15.75" thickBot="1" x14ac:dyDescent="0.3">
      <c r="F36" s="79" t="s">
        <v>116</v>
      </c>
      <c r="G36" s="75" t="str">
        <f>'Pseudo-load coefficients'!$B$261</f>
        <v>Step 4: Results of Step 3</v>
      </c>
    </row>
    <row r="37" spans="6:7" ht="15.75" thickTop="1" x14ac:dyDescent="0.25">
      <c r="F37" s="78" t="s">
        <v>72</v>
      </c>
      <c r="G37" s="75" t="str">
        <f>'System peak demand'!$B$16</f>
        <v>Common inputs for chargeable load calculations</v>
      </c>
    </row>
    <row r="38" spans="6:7" x14ac:dyDescent="0.25">
      <c r="F38" s="79" t="s">
        <v>116</v>
      </c>
      <c r="G38" s="75" t="str">
        <f>'System peak demand'!$B$63</f>
        <v>Load at system peak charged to unit rates</v>
      </c>
    </row>
    <row r="39" spans="6:7" x14ac:dyDescent="0.25">
      <c r="F39" s="79" t="s">
        <v>116</v>
      </c>
      <c r="G39" s="75" t="str">
        <f>'System peak demand'!$B$179</f>
        <v>Load at system peak charged to standing charges</v>
      </c>
    </row>
    <row r="40" spans="6:7" ht="15.75" thickBot="1" x14ac:dyDescent="0.3">
      <c r="F40" s="79" t="s">
        <v>116</v>
      </c>
      <c r="G40" s="75" t="str">
        <f>'System peak demand'!$B$262</f>
        <v>System peak based on chargeable load</v>
      </c>
    </row>
    <row r="41" spans="6:7" ht="16.5" thickTop="1" thickBot="1" x14ac:dyDescent="0.3">
      <c r="F41" s="78" t="s">
        <v>74</v>
      </c>
      <c r="G41" s="75" t="str">
        <f>'Service model assets'!$B$12</f>
        <v>Service model notional asset values</v>
      </c>
    </row>
    <row r="42" spans="6:7" ht="15.75" thickTop="1" x14ac:dyDescent="0.25">
      <c r="F42" s="78" t="s">
        <v>76</v>
      </c>
      <c r="G42" s="75" t="str">
        <f>'Unit costs'!$B$15</f>
        <v>500MW model costs</v>
      </c>
    </row>
    <row r="43" spans="6:7" x14ac:dyDescent="0.25">
      <c r="F43" s="79" t="s">
        <v>116</v>
      </c>
      <c r="G43" s="75" t="str">
        <f>'Unit costs'!$B$58</f>
        <v>Allocation of other costs</v>
      </c>
    </row>
    <row r="44" spans="6:7" ht="15.75" thickBot="1" x14ac:dyDescent="0.3">
      <c r="F44" s="79" t="s">
        <v>116</v>
      </c>
      <c r="G44" s="75" t="str">
        <f>'Unit costs'!$B$102</f>
        <v>Outputs</v>
      </c>
    </row>
    <row r="45" spans="6:7" ht="15.75" thickTop="1" x14ac:dyDescent="0.25">
      <c r="F45" s="78" t="s">
        <v>78</v>
      </c>
      <c r="G45" s="75" t="str">
        <f>'Initial unit rates'!$B$11</f>
        <v>Inputs for yardstick and unit rate calculations</v>
      </c>
    </row>
    <row r="46" spans="6:7" ht="15.75" thickBot="1" x14ac:dyDescent="0.3">
      <c r="F46" s="79" t="s">
        <v>116</v>
      </c>
      <c r="G46" s="75" t="str">
        <f>'Initial unit rates'!$B$116</f>
        <v>Calculation of yardstick &amp; unit rate charges</v>
      </c>
    </row>
    <row r="47" spans="6:7" ht="15.75" thickTop="1" x14ac:dyDescent="0.25">
      <c r="F47" s="78" t="s">
        <v>80</v>
      </c>
      <c r="G47" s="75" t="str">
        <f>'Service model charges'!$B$13</f>
        <v>Inputs to service model charge calculation</v>
      </c>
    </row>
    <row r="48" spans="6:7" ht="15.75" thickBot="1" x14ac:dyDescent="0.3">
      <c r="F48" s="79" t="s">
        <v>116</v>
      </c>
      <c r="G48" s="75" t="str">
        <f>'Service model charges'!$B$29</f>
        <v>Allocation of service model costs</v>
      </c>
    </row>
    <row r="49" spans="6:7" ht="15.75" thickTop="1" x14ac:dyDescent="0.25">
      <c r="F49" s="78" t="s">
        <v>82</v>
      </c>
      <c r="G49" s="75" t="str">
        <f>'Unit rate charges'!$B$15</f>
        <v>Inputs to unit rate charge calculations</v>
      </c>
    </row>
    <row r="50" spans="6:7" ht="15.75" thickBot="1" x14ac:dyDescent="0.3">
      <c r="F50" s="79" t="s">
        <v>116</v>
      </c>
      <c r="G50" s="75" t="str">
        <f>'Unit rate charges'!$B$122</f>
        <v>Application of standing charges to unit rates</v>
      </c>
    </row>
    <row r="51" spans="6:7" ht="15.75" thickTop="1" x14ac:dyDescent="0.25">
      <c r="F51" s="78" t="s">
        <v>86</v>
      </c>
      <c r="G51" s="75" t="str">
        <f>'Capacity charges'!$B$17</f>
        <v>Inputs to capacity charge calculations</v>
      </c>
    </row>
    <row r="52" spans="6:7" x14ac:dyDescent="0.25">
      <c r="F52" s="79" t="s">
        <v>116</v>
      </c>
      <c r="G52" s="75" t="str">
        <f>'Capacity charges'!$B$125</f>
        <v>Calculation of capacity charges</v>
      </c>
    </row>
    <row r="53" spans="6:7" ht="15.75" thickBot="1" x14ac:dyDescent="0.3">
      <c r="F53" s="79" t="s">
        <v>116</v>
      </c>
      <c r="G53" s="75" t="str">
        <f>'Capacity charges'!$B$249</f>
        <v>Capacity charges (and elements allocated to fixed charges)</v>
      </c>
    </row>
    <row r="54" spans="6:7" ht="15.75" thickTop="1" x14ac:dyDescent="0.25">
      <c r="F54" s="78" t="s">
        <v>84</v>
      </c>
      <c r="G54" s="75" t="str">
        <f>'Reactive power charges'!$B$13</f>
        <v>Inputs to reactive power charge calculations</v>
      </c>
    </row>
    <row r="55" spans="6:7" x14ac:dyDescent="0.25">
      <c r="F55" s="79" t="s">
        <v>116</v>
      </c>
      <c r="G55" s="75" t="str">
        <f>'Reactive power charges'!$B$150</f>
        <v>Calculation of yardstick charges for generation</v>
      </c>
    </row>
    <row r="56" spans="6:7" ht="15.75" thickBot="1" x14ac:dyDescent="0.3">
      <c r="F56" s="79" t="s">
        <v>116</v>
      </c>
      <c r="G56" s="75" t="str">
        <f>'Reactive power charges'!$B$185</f>
        <v>Calculation of reactive power charges</v>
      </c>
    </row>
    <row r="57" spans="6:7" ht="15.75" thickTop="1" x14ac:dyDescent="0.25">
      <c r="F57" s="78" t="s">
        <v>88</v>
      </c>
      <c r="G57" s="75" t="str">
        <f>'Fixed charges'!$B$14</f>
        <v>Inputs to fixed charge calculations</v>
      </c>
    </row>
    <row r="58" spans="6:7" ht="15.75" thickBot="1" x14ac:dyDescent="0.3">
      <c r="F58" s="79" t="s">
        <v>116</v>
      </c>
      <c r="G58" s="75" t="str">
        <f>'Fixed charges'!$B$65</f>
        <v>Calculation of fixed charges</v>
      </c>
    </row>
    <row r="59" spans="6:7" ht="16.5" thickTop="1" thickBot="1" x14ac:dyDescent="0.3">
      <c r="F59" s="78" t="s">
        <v>1141</v>
      </c>
      <c r="G59" s="75" t="str">
        <f>'SoLR &amp; bad debt adders'!$B$12</f>
        <v>Fixed tariff adjustments</v>
      </c>
    </row>
    <row r="60" spans="6:7" ht="15.75" thickTop="1" x14ac:dyDescent="0.25">
      <c r="F60" s="78" t="s">
        <v>90</v>
      </c>
      <c r="G60" s="75" t="str">
        <f>'Revenue matching'!$B$13</f>
        <v>Pre-matching net revenue calculations</v>
      </c>
    </row>
    <row r="61" spans="6:7" x14ac:dyDescent="0.25">
      <c r="F61" s="79" t="s">
        <v>116</v>
      </c>
      <c r="G61" s="75" t="str">
        <f>'Revenue matching'!$B$87</f>
        <v>Residual charge calculation</v>
      </c>
    </row>
    <row r="62" spans="6:7" x14ac:dyDescent="0.25">
      <c r="F62" s="79" t="s">
        <v>116</v>
      </c>
      <c r="G62" s="75" t="str">
        <f>'Revenue matching'!$B$210</f>
        <v>Adjustments for negative fixed charges</v>
      </c>
    </row>
    <row r="63" spans="6:7" ht="15.75" thickBot="1" x14ac:dyDescent="0.3">
      <c r="F63" s="79" t="s">
        <v>116</v>
      </c>
      <c r="G63" s="75" t="str">
        <f>'Revenue matching'!$B$408</f>
        <v>Final adders</v>
      </c>
    </row>
    <row r="64" spans="6:7" ht="15.75" thickTop="1" x14ac:dyDescent="0.25">
      <c r="F64" s="78" t="s">
        <v>92</v>
      </c>
      <c r="G64" s="75" t="str">
        <f>Rounding!$B$12</f>
        <v>Inputs</v>
      </c>
    </row>
    <row r="65" spans="2:7" ht="15.75" thickBot="1" x14ac:dyDescent="0.3">
      <c r="F65" s="79" t="s">
        <v>116</v>
      </c>
      <c r="G65" s="75" t="str">
        <f>Rounding!$B$103</f>
        <v>Rounding of tariff forecast</v>
      </c>
    </row>
    <row r="66" spans="2:7" ht="15.75" thickTop="1" x14ac:dyDescent="0.25">
      <c r="F66" s="78" t="s">
        <v>94</v>
      </c>
      <c r="G66" s="75" t="str">
        <f>'Net revenue summary'!$B$11</f>
        <v>Inputs to net revenue summary calculation</v>
      </c>
    </row>
    <row r="67" spans="2:7" x14ac:dyDescent="0.25">
      <c r="F67" s="79" t="s">
        <v>116</v>
      </c>
      <c r="G67" s="75" t="str">
        <f>'Net revenue summary'!$B$90</f>
        <v>Typical bills</v>
      </c>
    </row>
    <row r="68" spans="2:7" x14ac:dyDescent="0.25">
      <c r="F68" s="79" t="s">
        <v>116</v>
      </c>
      <c r="G68" s="75" t="str">
        <f>'Net revenue summary'!$B$150</f>
        <v>Comparison with previous year</v>
      </c>
    </row>
    <row r="69" spans="2:7" ht="15.75" thickBot="1" x14ac:dyDescent="0.3">
      <c r="F69" s="79" t="s">
        <v>116</v>
      </c>
      <c r="G69" s="75" t="str">
        <f>'Net revenue summary'!$B$176</f>
        <v>LDNO margins</v>
      </c>
    </row>
    <row r="70" spans="2:7" ht="16.5" thickTop="1" thickBot="1" x14ac:dyDescent="0.3">
      <c r="F70" s="80" t="s">
        <v>96</v>
      </c>
      <c r="G70" s="75" t="str">
        <f>'Tariff summary'!$B$11</f>
        <v>Tariff summary</v>
      </c>
    </row>
    <row r="71" spans="2:7" ht="15.75" thickTop="1" x14ac:dyDescent="0.25">
      <c r="F71" s="80" t="s">
        <v>98</v>
      </c>
      <c r="G71" s="75" t="str">
        <f>'Output to other models'!$B$12</f>
        <v>Outputs for PCDM</v>
      </c>
    </row>
    <row r="72" spans="2:7" x14ac:dyDescent="0.25">
      <c r="F72" s="81" t="s">
        <v>116</v>
      </c>
      <c r="G72" s="75" t="str">
        <f>'Output to other models'!$B$31</f>
        <v>Outputs for EDCM</v>
      </c>
    </row>
    <row r="73" spans="2:7" x14ac:dyDescent="0.25">
      <c r="F73" s="81" t="s">
        <v>116</v>
      </c>
      <c r="G73" s="75" t="str">
        <f>'Output to other models'!$B$61</f>
        <v>Outputs for users' internal use</v>
      </c>
    </row>
    <row r="75" spans="2:7" x14ac:dyDescent="0.25">
      <c r="B75" s="70" t="s">
        <v>118</v>
      </c>
      <c r="C75" s="70"/>
      <c r="D75" s="70"/>
      <c r="E75" s="70"/>
      <c r="F75" s="70"/>
      <c r="G75" s="70"/>
    </row>
    <row r="77" spans="2:7" x14ac:dyDescent="0.25">
      <c r="C77" s="71" t="s">
        <v>119</v>
      </c>
    </row>
    <row r="79" spans="2:7" ht="15.75" thickBot="1" x14ac:dyDescent="0.3">
      <c r="F79" s="72" t="s">
        <v>112</v>
      </c>
      <c r="G79" s="73" t="s">
        <v>113</v>
      </c>
    </row>
    <row r="80" spans="2:7" ht="15.75" thickTop="1" x14ac:dyDescent="0.25">
      <c r="F80" s="77" t="s">
        <v>53</v>
      </c>
      <c r="G80" s="75" t="str">
        <f ca="1">'Fixed inputs'!$C$13</f>
        <v>Input 101-A: Conversions and time</v>
      </c>
    </row>
    <row r="81" spans="6:7" x14ac:dyDescent="0.25">
      <c r="F81" s="82" t="s">
        <v>116</v>
      </c>
      <c r="G81" s="75" t="str">
        <f ca="1">'Fixed inputs'!$C$20</f>
        <v>Input 101-B: Input 101-B: Rounding</v>
      </c>
    </row>
    <row r="82" spans="6:7" x14ac:dyDescent="0.25">
      <c r="F82" s="82" t="s">
        <v>116</v>
      </c>
      <c r="G82" s="75" t="str">
        <f ca="1">'Fixed inputs'!$C$33</f>
        <v>Input 101-C: Financial and general assumptions</v>
      </c>
    </row>
    <row r="83" spans="6:7" x14ac:dyDescent="0.25">
      <c r="F83" s="82" t="s">
        <v>116</v>
      </c>
      <c r="G83" s="75" t="str">
        <f ca="1">'Fixed inputs'!$C$43</f>
        <v>Input 101-D: Mappings</v>
      </c>
    </row>
    <row r="84" spans="6:7" x14ac:dyDescent="0.25">
      <c r="F84" s="82" t="s">
        <v>116</v>
      </c>
      <c r="G84" s="75" t="str">
        <f ca="1">'Fixed inputs'!$C$84</f>
        <v>Input 101-E: Standing charge factors</v>
      </c>
    </row>
    <row r="85" spans="6:7" x14ac:dyDescent="0.25">
      <c r="F85" s="82" t="s">
        <v>116</v>
      </c>
      <c r="G85" s="75" t="str">
        <f ca="1">'Fixed inputs'!$C$99</f>
        <v>Input 101-F: Flags</v>
      </c>
    </row>
    <row r="86" spans="6:7" x14ac:dyDescent="0.25">
      <c r="F86" s="82" t="s">
        <v>116</v>
      </c>
      <c r="G86" s="75" t="str">
        <f ca="1">'Fixed inputs'!$C$141</f>
        <v>Input 101-G: Identifiers for customer groupings</v>
      </c>
    </row>
    <row r="87" spans="6:7" x14ac:dyDescent="0.25">
      <c r="F87" s="82" t="s">
        <v>116</v>
      </c>
      <c r="G87" s="75" t="str">
        <f ca="1">'Fixed inputs'!$C$151</f>
        <v>Input 101-H: Decimal places for error checks</v>
      </c>
    </row>
    <row r="88" spans="6:7" x14ac:dyDescent="0.25">
      <c r="F88" s="82" t="s">
        <v>116</v>
      </c>
      <c r="G88" s="75" t="str">
        <f ca="1">'Fixed inputs'!$C$155</f>
        <v>Input 101-I: Map of applicable MPANs</v>
      </c>
    </row>
    <row r="89" spans="6:7" ht="15.75" thickBot="1" x14ac:dyDescent="0.3">
      <c r="F89" s="82" t="s">
        <v>116</v>
      </c>
      <c r="G89" s="75" t="str">
        <f ca="1">'Fixed inputs'!$C$162</f>
        <v>Input 101-J: Revenue matching inputs</v>
      </c>
    </row>
    <row r="90" spans="6:7" ht="15.75" thickTop="1" x14ac:dyDescent="0.25">
      <c r="F90" s="77" t="s">
        <v>56</v>
      </c>
      <c r="G90" s="75" t="str">
        <f ca="1">'Inputs by customer type'!$C$13</f>
        <v>Input 102-A: Load characteristics</v>
      </c>
    </row>
    <row r="91" spans="6:7" x14ac:dyDescent="0.25">
      <c r="F91" s="82" t="s">
        <v>116</v>
      </c>
      <c r="G91" s="75" t="str">
        <f ca="1">'Inputs by customer type'!$C$18</f>
        <v>Input 102-B: Volume forecasts for the charging year</v>
      </c>
    </row>
    <row r="92" spans="6:7" x14ac:dyDescent="0.25">
      <c r="F92" s="82" t="s">
        <v>116</v>
      </c>
      <c r="G92" s="75" t="str">
        <f ca="1">'Inputs by customer type'!$C$163</f>
        <v>Input 102-C: Non-Domestic Aggregated (Related MPAN) distribution by bands</v>
      </c>
    </row>
    <row r="93" spans="6:7" x14ac:dyDescent="0.25">
      <c r="F93" s="82" t="s">
        <v>116</v>
      </c>
      <c r="G93" s="75" t="str">
        <f ca="1">'Inputs by customer type'!$C$183</f>
        <v>Input 102-D: Service model asset values</v>
      </c>
    </row>
    <row r="94" spans="6:7" x14ac:dyDescent="0.25">
      <c r="F94" s="82" t="s">
        <v>116</v>
      </c>
      <c r="G94" s="75" t="str">
        <f ca="1">'Inputs by customer type'!$C$192</f>
        <v>Input 102-E: Previous year all-the-way tariff forecast</v>
      </c>
    </row>
    <row r="95" spans="6:7" ht="15.75" thickBot="1" x14ac:dyDescent="0.3">
      <c r="F95" s="82" t="s">
        <v>116</v>
      </c>
      <c r="G95" s="75" t="str">
        <f ca="1">'Inputs by customer type'!$C$206</f>
        <v>Input 102-F: Previous year net revenue (if known)</v>
      </c>
    </row>
    <row r="96" spans="6:7" ht="15.75" thickTop="1" x14ac:dyDescent="0.25">
      <c r="F96" s="77" t="s">
        <v>58</v>
      </c>
      <c r="G96" s="75" t="str">
        <f ca="1">'Inputs by network level'!$C$13</f>
        <v>Input 103-A: Network and load inputs</v>
      </c>
    </row>
    <row r="97" spans="6:7" x14ac:dyDescent="0.25">
      <c r="F97" s="82" t="s">
        <v>116</v>
      </c>
      <c r="G97" s="75" t="str">
        <f ca="1">'Inputs by network level'!$C$23</f>
        <v>Input 103-B: Customer contributions under current connection charging policy</v>
      </c>
    </row>
    <row r="98" spans="6:7" x14ac:dyDescent="0.25">
      <c r="F98" s="82" t="s">
        <v>116</v>
      </c>
      <c r="G98" s="75" t="str">
        <f ca="1">'Inputs by network level'!$C$31</f>
        <v>Input 103-C: DRM asset costs</v>
      </c>
    </row>
    <row r="99" spans="6:7" ht="15.75" thickBot="1" x14ac:dyDescent="0.3">
      <c r="F99" s="82" t="s">
        <v>116</v>
      </c>
      <c r="G99" s="75" t="str">
        <f ca="1">'Inputs by network level'!$C$35</f>
        <v>Input 103-D: Peaking probabilities by network level</v>
      </c>
    </row>
    <row r="100" spans="6:7" ht="15.75" thickTop="1" x14ac:dyDescent="0.25">
      <c r="F100" s="77" t="s">
        <v>60</v>
      </c>
      <c r="G100" s="75" t="str">
        <f ca="1">'General inputs'!$C$13</f>
        <v>Input 104-A: Inputs by distribution timeband</v>
      </c>
    </row>
    <row r="101" spans="6:7" x14ac:dyDescent="0.25">
      <c r="F101" s="82" t="s">
        <v>116</v>
      </c>
      <c r="G101" s="75" t="str">
        <f ca="1">'General inputs'!$C$25</f>
        <v>Input 104-B: LDNO discount inputs</v>
      </c>
    </row>
    <row r="102" spans="6:7" x14ac:dyDescent="0.25">
      <c r="F102" s="82" t="s">
        <v>116</v>
      </c>
      <c r="G102" s="75" t="str">
        <f ca="1">'General inputs'!$C$35</f>
        <v>Input 104-C: CDCM target revenue</v>
      </c>
    </row>
    <row r="103" spans="6:7" x14ac:dyDescent="0.25">
      <c r="F103" s="82" t="s">
        <v>116</v>
      </c>
      <c r="G103" s="75" t="str">
        <f ca="1">'General inputs'!$C$90</f>
        <v>Input 104-D: Financial and general assumptions</v>
      </c>
    </row>
    <row r="104" spans="6:7" x14ac:dyDescent="0.25">
      <c r="F104" s="82" t="s">
        <v>116</v>
      </c>
      <c r="G104" s="75" t="str">
        <f ca="1">'General inputs'!$C$96</f>
        <v>Input 104-E: Transmission exit charges</v>
      </c>
    </row>
    <row r="105" spans="6:7" ht="15.75" thickBot="1" x14ac:dyDescent="0.3">
      <c r="F105" s="82" t="s">
        <v>116</v>
      </c>
      <c r="G105" s="75" t="str">
        <f ca="1">'General inputs'!$C$100</f>
        <v>Input 104-F: Other expenditure</v>
      </c>
    </row>
    <row r="106" spans="6:7" ht="16.5" thickTop="1" thickBot="1" x14ac:dyDescent="0.3">
      <c r="F106" s="78" t="s">
        <v>120</v>
      </c>
      <c r="G106" s="75" t="str">
        <f ca="1">'Standing charge factors'!$C$19</f>
        <v>Section 101-A: Adjustments to standing charges</v>
      </c>
    </row>
    <row r="107" spans="6:7" ht="15.75" thickTop="1" x14ac:dyDescent="0.25">
      <c r="F107" s="78" t="s">
        <v>64</v>
      </c>
      <c r="G107" s="75" t="str">
        <f ca="1">'Load &amp; loss characteristics'!$C$17</f>
        <v>Section 102-A: Load characteristics</v>
      </c>
    </row>
    <row r="108" spans="6:7" x14ac:dyDescent="0.25">
      <c r="F108" s="79" t="s">
        <v>116</v>
      </c>
      <c r="G108" s="75" t="str">
        <f ca="1">'Load &amp; loss characteristics'!$C$25</f>
        <v>Section 102-B: Loss adjustment factors</v>
      </c>
    </row>
    <row r="109" spans="6:7" x14ac:dyDescent="0.25">
      <c r="F109" s="79" t="s">
        <v>116</v>
      </c>
      <c r="G109" s="75" t="str">
        <f ca="1">'Load &amp; loss characteristics'!$C$35</f>
        <v>Section 102-C: Proportion of relevant load going through 132kV/HV direct transformation</v>
      </c>
    </row>
    <row r="110" spans="6:7" x14ac:dyDescent="0.25">
      <c r="F110" s="79" t="s">
        <v>116</v>
      </c>
      <c r="G110" s="75" t="str">
        <f ca="1">'Load &amp; loss characteristics'!$C$40</f>
        <v>Section 102-D: Network use factors</v>
      </c>
    </row>
    <row r="111" spans="6:7" ht="15.75" thickBot="1" x14ac:dyDescent="0.3">
      <c r="F111" s="79" t="s">
        <v>116</v>
      </c>
      <c r="G111" s="75" t="str">
        <f ca="1">'Load &amp; loss characteristics'!$C$121</f>
        <v>Section 102-E: User loss factors</v>
      </c>
    </row>
    <row r="112" spans="6:7" ht="15.75" thickTop="1" x14ac:dyDescent="0.25">
      <c r="F112" s="78" t="s">
        <v>66</v>
      </c>
      <c r="G112" s="75" t="str">
        <f ca="1">'Customer contributions'!$C$16</f>
        <v>Section 103-A: Network use factors</v>
      </c>
    </row>
    <row r="113" spans="6:7" ht="15.75" thickBot="1" x14ac:dyDescent="0.3">
      <c r="F113" s="79" t="s">
        <v>116</v>
      </c>
      <c r="G113" s="75" t="str">
        <f ca="1">'Customer contributions'!$C$38</f>
        <v>Section 103-B: Customer contributions</v>
      </c>
    </row>
    <row r="114" spans="6:7" ht="15.75" thickTop="1" x14ac:dyDescent="0.25">
      <c r="F114" s="78" t="s">
        <v>68</v>
      </c>
      <c r="G114" s="75" t="str">
        <f ca="1">'Volume adjustments'!$C$15</f>
        <v>Section 104-A: LDNO discounts</v>
      </c>
    </row>
    <row r="115" spans="6:7" x14ac:dyDescent="0.25">
      <c r="F115" s="79" t="s">
        <v>116</v>
      </c>
      <c r="G115" s="75" t="str">
        <f ca="1">'Volume adjustments'!$C$53</f>
        <v>Section 104-B: Aggregation of volumes</v>
      </c>
    </row>
    <row r="116" spans="6:7" x14ac:dyDescent="0.25">
      <c r="F116" s="79" t="s">
        <v>116</v>
      </c>
      <c r="G116" s="75" t="str">
        <f ca="1">'Volume adjustments'!$C$225</f>
        <v>Section 104-C: Volume discounting</v>
      </c>
    </row>
    <row r="117" spans="6:7" x14ac:dyDescent="0.25">
      <c r="F117" s="79" t="s">
        <v>116</v>
      </c>
      <c r="G117" s="75" t="str">
        <f ca="1">'Volume adjustments'!$C$332</f>
        <v>Section 104-D: No residual volume discounting</v>
      </c>
    </row>
    <row r="118" spans="6:7" x14ac:dyDescent="0.25">
      <c r="F118" s="79" t="s">
        <v>116</v>
      </c>
      <c r="G118" s="75" t="str">
        <f ca="1">'Volume adjustments'!$C$361</f>
        <v>Section 104-E: Residual band 1 volume discounting</v>
      </c>
    </row>
    <row r="119" spans="6:7" x14ac:dyDescent="0.25">
      <c r="F119" s="79" t="s">
        <v>116</v>
      </c>
      <c r="G119" s="75" t="str">
        <f ca="1">'Volume adjustments'!$C$390</f>
        <v>Section 104-F: Residual band 2 volume discounting</v>
      </c>
    </row>
    <row r="120" spans="6:7" x14ac:dyDescent="0.25">
      <c r="F120" s="79" t="s">
        <v>116</v>
      </c>
      <c r="G120" s="75" t="str">
        <f ca="1">'Volume adjustments'!$C$419</f>
        <v>Section 104-G: Residual band 3 volume discounting</v>
      </c>
    </row>
    <row r="121" spans="6:7" x14ac:dyDescent="0.25">
      <c r="F121" s="79" t="s">
        <v>116</v>
      </c>
      <c r="G121" s="75" t="str">
        <f ca="1">'Volume adjustments'!$C$448</f>
        <v>Section 104-H: Residual band 4 volume discounting</v>
      </c>
    </row>
    <row r="122" spans="6:7" x14ac:dyDescent="0.25">
      <c r="F122" s="79" t="s">
        <v>116</v>
      </c>
      <c r="G122" s="75" t="str">
        <f ca="1">'Volume adjustments'!$C$477</f>
        <v>Section 104-I: Discounted volumes by residual band</v>
      </c>
    </row>
    <row r="123" spans="6:7" x14ac:dyDescent="0.25">
      <c r="F123" s="79" t="s">
        <v>116</v>
      </c>
      <c r="G123" s="75" t="str">
        <f ca="1">'Volume adjustments'!$C$523</f>
        <v>Section 104-J: Volumes by residual band</v>
      </c>
    </row>
    <row r="124" spans="6:7" ht="15.75" thickBot="1" x14ac:dyDescent="0.3">
      <c r="F124" s="79" t="s">
        <v>116</v>
      </c>
      <c r="G124" s="75" t="str">
        <f ca="1">'Volume adjustments'!$C$657</f>
        <v>Section 104-K: Non-domestic aggregated (related MPAN) distribution across bands</v>
      </c>
    </row>
    <row r="125" spans="6:7" ht="15.75" thickTop="1" x14ac:dyDescent="0.25">
      <c r="F125" s="78" t="s">
        <v>70</v>
      </c>
      <c r="G125" s="75" t="str">
        <f ca="1">'Pseudo-load coefficients'!$C$18</f>
        <v>Section 105-A: Flags and hours in timebands</v>
      </c>
    </row>
    <row r="126" spans="6:7" x14ac:dyDescent="0.25">
      <c r="F126" s="79" t="s">
        <v>116</v>
      </c>
      <c r="G126" s="75" t="str">
        <f ca="1">'Pseudo-load coefficients'!$C$28</f>
        <v>Section 105-B: Average load by timeband</v>
      </c>
    </row>
    <row r="127" spans="6:7" x14ac:dyDescent="0.25">
      <c r="F127" s="79" t="s">
        <v>116</v>
      </c>
      <c r="G127" s="75" t="str">
        <f ca="1">'Pseudo-load coefficients'!$C$36</f>
        <v>Section 105-C: Aggregated groups for pseudo-load coefficients</v>
      </c>
    </row>
    <row r="128" spans="6:7" x14ac:dyDescent="0.25">
      <c r="F128" s="79" t="s">
        <v>116</v>
      </c>
      <c r="G128" s="75" t="str">
        <f ca="1">'Pseudo-load coefficients'!$C$52</f>
        <v>Section 105-D: Ratio of coincidence to load factor assuming units evenly spread within time bands, and peak falls in Red period</v>
      </c>
    </row>
    <row r="129" spans="6:7" x14ac:dyDescent="0.25">
      <c r="F129" s="79" t="s">
        <v>116</v>
      </c>
      <c r="G129" s="75" t="str">
        <f ca="1">'Pseudo-load coefficients'!$C$60</f>
        <v>Section 105-E: Load characteristics for all customers</v>
      </c>
    </row>
    <row r="130" spans="6:7" x14ac:dyDescent="0.25">
      <c r="F130" s="79" t="s">
        <v>116</v>
      </c>
      <c r="G130" s="75" t="str">
        <f ca="1">'Pseudo-load coefficients'!$C$65</f>
        <v>Section 105-F: Aggregated load characteristics for grouped customers</v>
      </c>
    </row>
    <row r="131" spans="6:7" x14ac:dyDescent="0.25">
      <c r="F131" s="79" t="s">
        <v>116</v>
      </c>
      <c r="G131" s="75" t="str">
        <f ca="1">'Pseudo-load coefficients'!$C$87</f>
        <v>Section 105-G: Calculation of correction factor</v>
      </c>
    </row>
    <row r="132" spans="6:7" x14ac:dyDescent="0.25">
      <c r="F132" s="79" t="s">
        <v>116</v>
      </c>
      <c r="G132" s="75" t="str">
        <f ca="1">'Pseudo-load coefficients'!$C$100</f>
        <v>Section 105-H: Peaking probabilities, by network level</v>
      </c>
    </row>
    <row r="133" spans="6:7" x14ac:dyDescent="0.25">
      <c r="F133" s="79" t="s">
        <v>116</v>
      </c>
      <c r="G133" s="75" t="str">
        <f ca="1">'Pseudo-load coefficients'!$C$174</f>
        <v>Section 105-I: Peaking probabilities, by network level and customer type</v>
      </c>
    </row>
    <row r="134" spans="6:7" x14ac:dyDescent="0.25">
      <c r="F134" s="79" t="s">
        <v>116</v>
      </c>
      <c r="G134" s="75" t="str">
        <f ca="1">'Pseudo-load coefficients'!$C$221</f>
        <v>Section 105-J: Ratio of coincidence factor to load factor, based on uniform distribution in timebands and peaking probabilities</v>
      </c>
    </row>
    <row r="135" spans="6:7" x14ac:dyDescent="0.25">
      <c r="F135" s="79" t="s">
        <v>116</v>
      </c>
      <c r="G135" s="75" t="str">
        <f ca="1">'Pseudo-load coefficients'!$C$265</f>
        <v>Section 105-K: Load coefficient</v>
      </c>
    </row>
    <row r="136" spans="6:7" ht="15.75" thickBot="1" x14ac:dyDescent="0.3">
      <c r="F136" s="79" t="s">
        <v>116</v>
      </c>
      <c r="G136" s="75" t="str">
        <f ca="1">'Pseudo-load coefficients'!$C$269</f>
        <v>Section 105-L: Pseudo load coefficients, by unit rate</v>
      </c>
    </row>
    <row r="137" spans="6:7" ht="15.75" thickTop="1" x14ac:dyDescent="0.25">
      <c r="F137" s="78" t="s">
        <v>72</v>
      </c>
      <c r="G137" s="75" t="str">
        <f ca="1">'System peak demand'!$C$18</f>
        <v>Section 106-A: Common inputs for chargeable load calculations</v>
      </c>
    </row>
    <row r="138" spans="6:7" x14ac:dyDescent="0.25">
      <c r="F138" s="79" t="s">
        <v>116</v>
      </c>
      <c r="G138" s="75" t="str">
        <f ca="1">'System peak demand'!$C$67</f>
        <v>Section 106-B: System peak load, by unit rate</v>
      </c>
    </row>
    <row r="139" spans="6:7" x14ac:dyDescent="0.25">
      <c r="F139" s="79" t="s">
        <v>116</v>
      </c>
      <c r="G139" s="75" t="str">
        <f ca="1">'System peak demand'!$C$138</f>
        <v>Section 106-C: System peak load, all unit rates</v>
      </c>
    </row>
    <row r="140" spans="6:7" x14ac:dyDescent="0.25">
      <c r="F140" s="79" t="s">
        <v>116</v>
      </c>
      <c r="G140" s="75" t="str">
        <f ca="1">'System peak demand'!$C$164</f>
        <v>Section 106-D: Unit rate contributions to chargeable peak load</v>
      </c>
    </row>
    <row r="141" spans="6:7" x14ac:dyDescent="0.25">
      <c r="F141" s="79" t="s">
        <v>116</v>
      </c>
      <c r="G141" s="75" t="str">
        <f ca="1">'System peak demand'!$C$184</f>
        <v>Section 106-E: Adjustment of import and exceeded capacity</v>
      </c>
    </row>
    <row r="142" spans="6:7" x14ac:dyDescent="0.25">
      <c r="F142" s="79" t="s">
        <v>116</v>
      </c>
      <c r="G142" s="75" t="str">
        <f ca="1">'System peak demand'!$C$194</f>
        <v>Section 106-F: Calculation of LV circuit diversity factor</v>
      </c>
    </row>
    <row r="143" spans="6:7" x14ac:dyDescent="0.25">
      <c r="F143" s="79" t="s">
        <v>116</v>
      </c>
      <c r="G143" s="75" t="str">
        <f ca="1">'System peak demand'!$C$236</f>
        <v>Section 106-G: Import/exceeded capacity contribution to system peak</v>
      </c>
    </row>
    <row r="144" spans="6:7" x14ac:dyDescent="0.25">
      <c r="F144" s="79" t="s">
        <v>116</v>
      </c>
      <c r="G144" s="75" t="str">
        <f ca="1">'System peak demand'!$C$249</f>
        <v>Section 106-H: Estimated capacity contribution to system peak</v>
      </c>
    </row>
    <row r="145" spans="6:7" ht="15.75" thickBot="1" x14ac:dyDescent="0.3">
      <c r="F145" s="79" t="s">
        <v>116</v>
      </c>
      <c r="G145" s="75" t="str">
        <f ca="1">'System peak demand'!$C$266</f>
        <v>Section 106-I: System peak based on chargeable load</v>
      </c>
    </row>
    <row r="146" spans="6:7" ht="16.5" thickTop="1" thickBot="1" x14ac:dyDescent="0.3">
      <c r="F146" s="78" t="s">
        <v>74</v>
      </c>
      <c r="G146" s="75" t="str">
        <f ca="1">'Service model assets'!$C$14</f>
        <v>Section 107-A: Service model notional asset values</v>
      </c>
    </row>
    <row r="147" spans="6:7" ht="15.75" thickTop="1" x14ac:dyDescent="0.25">
      <c r="F147" s="78" t="s">
        <v>76</v>
      </c>
      <c r="G147" s="75" t="str">
        <f ca="1">'Unit costs'!$C$19</f>
        <v>Section 108-A: Financial data</v>
      </c>
    </row>
    <row r="148" spans="6:7" x14ac:dyDescent="0.25">
      <c r="F148" s="79" t="s">
        <v>116</v>
      </c>
      <c r="G148" s="75" t="str">
        <f ca="1">'Unit costs'!$C$27</f>
        <v>Section 108-B: Diversity and loss adjustment factors</v>
      </c>
    </row>
    <row r="149" spans="6:7" x14ac:dyDescent="0.25">
      <c r="F149" s="79" t="s">
        <v>116</v>
      </c>
      <c r="G149" s="75" t="str">
        <f ca="1">'Unit costs'!$C$35</f>
        <v>Section 108-C: Maximum demand</v>
      </c>
    </row>
    <row r="150" spans="6:7" x14ac:dyDescent="0.25">
      <c r="F150" s="79" t="s">
        <v>116</v>
      </c>
      <c r="G150" s="75" t="str">
        <f ca="1">'Unit costs'!$C$42</f>
        <v>Section 108-D: Rerouting matrix</v>
      </c>
    </row>
    <row r="151" spans="6:7" x14ac:dyDescent="0.25">
      <c r="F151" s="79" t="s">
        <v>116</v>
      </c>
      <c r="G151" s="75" t="str">
        <f ca="1">'Unit costs'!$C$50</f>
        <v>Section 108-E: Annuitised cost of assets</v>
      </c>
    </row>
    <row r="152" spans="6:7" x14ac:dyDescent="0.25">
      <c r="F152" s="79" t="s">
        <v>116</v>
      </c>
      <c r="G152" s="75" t="str">
        <f ca="1">'Unit costs'!$C$62</f>
        <v>Section 108-F: System simultaneous peak load based on charegable units</v>
      </c>
    </row>
    <row r="153" spans="6:7" x14ac:dyDescent="0.25">
      <c r="F153" s="79" t="s">
        <v>116</v>
      </c>
      <c r="G153" s="75" t="str">
        <f ca="1">'Unit costs'!$C$69</f>
        <v>Section 108-G: Notional asset values, by network level</v>
      </c>
    </row>
    <row r="154" spans="6:7" x14ac:dyDescent="0.25">
      <c r="F154" s="79" t="s">
        <v>116</v>
      </c>
      <c r="G154" s="75" t="str">
        <f ca="1">'Unit costs'!$C$80</f>
        <v>Section 108-H: Other operating costs</v>
      </c>
    </row>
    <row r="155" spans="6:7" x14ac:dyDescent="0.25">
      <c r="F155" s="79" t="s">
        <v>116</v>
      </c>
      <c r="G155" s="75" t="str">
        <f ca="1">'Unit costs'!$C$92</f>
        <v>Section 108-I: Other operating costs by network level</v>
      </c>
    </row>
    <row r="156" spans="6:7" x14ac:dyDescent="0.25">
      <c r="F156" s="79" t="s">
        <v>116</v>
      </c>
      <c r="G156" s="75" t="str">
        <f ca="1">'Unit costs'!$C$104</f>
        <v>Section 108-J: Notional asset values by network level</v>
      </c>
    </row>
    <row r="157" spans="6:7" x14ac:dyDescent="0.25">
      <c r="F157" s="79" t="s">
        <v>116</v>
      </c>
      <c r="G157" s="75" t="str">
        <f ca="1">'Unit costs'!$C$110</f>
        <v>Section 108-K: Unit costs</v>
      </c>
    </row>
    <row r="158" spans="6:7" ht="15.75" thickBot="1" x14ac:dyDescent="0.3">
      <c r="F158" s="79" t="s">
        <v>116</v>
      </c>
      <c r="G158" s="75" t="str">
        <f ca="1">'Unit costs'!$C$117</f>
        <v>Section 108-L: Values used for allocating costs to service models</v>
      </c>
    </row>
    <row r="159" spans="6:7" ht="15.75" thickTop="1" x14ac:dyDescent="0.25">
      <c r="F159" s="78" t="s">
        <v>78</v>
      </c>
      <c r="G159" s="75" t="str">
        <f ca="1">'Initial unit rates'!$C$13</f>
        <v>Section 109-A: Inputs for yardstick and unit rate calculations</v>
      </c>
    </row>
    <row r="160" spans="6:7" x14ac:dyDescent="0.25">
      <c r="F160" s="79" t="s">
        <v>116</v>
      </c>
      <c r="G160" s="75" t="str">
        <f ca="1">'Initial unit rates'!$C$118</f>
        <v>Section 109-B: Yardstick charges</v>
      </c>
    </row>
    <row r="161" spans="6:7" x14ac:dyDescent="0.25">
      <c r="F161" s="79" t="s">
        <v>116</v>
      </c>
      <c r="G161" s="75" t="str">
        <f ca="1">'Initial unit rates'!$C$146</f>
        <v>Section 109-C: Unit rate 1</v>
      </c>
    </row>
    <row r="162" spans="6:7" x14ac:dyDescent="0.25">
      <c r="F162" s="79" t="s">
        <v>116</v>
      </c>
      <c r="G162" s="75" t="str">
        <f ca="1">'Initial unit rates'!$C$175</f>
        <v>Section 109-D: Unit rate 2</v>
      </c>
    </row>
    <row r="163" spans="6:7" ht="15.75" thickBot="1" x14ac:dyDescent="0.3">
      <c r="F163" s="79" t="s">
        <v>116</v>
      </c>
      <c r="G163" s="75" t="str">
        <f ca="1">'Initial unit rates'!$C$204</f>
        <v>Section 109-E: Unit rate 3</v>
      </c>
    </row>
    <row r="164" spans="6:7" ht="15.75" thickTop="1" x14ac:dyDescent="0.25">
      <c r="F164" s="78" t="s">
        <v>80</v>
      </c>
      <c r="G164" s="75" t="str">
        <f ca="1">'Service model charges'!$C$17</f>
        <v>Section 110-A: Inputs to service model charge calculation</v>
      </c>
    </row>
    <row r="165" spans="6:7" x14ac:dyDescent="0.25">
      <c r="F165" s="79" t="s">
        <v>116</v>
      </c>
      <c r="G165" s="75" t="str">
        <f ca="1">'Service model charges'!$C$33</f>
        <v>Section 110-B: Calculation of other operating expenditure per £ of notional asset value</v>
      </c>
    </row>
    <row r="166" spans="6:7" ht="15.75" thickBot="1" x14ac:dyDescent="0.3">
      <c r="F166" s="79" t="s">
        <v>116</v>
      </c>
      <c r="G166" s="75" t="str">
        <f ca="1">'Service model charges'!$C$37</f>
        <v>Section 110-C: Calculation of service model charges</v>
      </c>
    </row>
    <row r="167" spans="6:7" ht="15.75" thickTop="1" x14ac:dyDescent="0.25">
      <c r="F167" s="78" t="s">
        <v>82</v>
      </c>
      <c r="G167" s="75" t="str">
        <f ca="1">'Unit rate charges'!$C$19</f>
        <v>Section 111-A: Initial unit rate 1</v>
      </c>
    </row>
    <row r="168" spans="6:7" x14ac:dyDescent="0.25">
      <c r="F168" s="79" t="s">
        <v>116</v>
      </c>
      <c r="G168" s="75" t="str">
        <f ca="1">'Unit rate charges'!$C$49</f>
        <v>Section 111-B: Initial unit rate 2</v>
      </c>
    </row>
    <row r="169" spans="6:7" x14ac:dyDescent="0.25">
      <c r="F169" s="79" t="s">
        <v>116</v>
      </c>
      <c r="G169" s="75" t="str">
        <f ca="1">'Unit rate charges'!$C$79</f>
        <v>Section 111-C: Initial unit rate 3</v>
      </c>
    </row>
    <row r="170" spans="6:7" x14ac:dyDescent="0.25">
      <c r="F170" s="79" t="s">
        <v>116</v>
      </c>
      <c r="G170" s="75" t="str">
        <f ca="1">'Unit rate charges'!$C$109</f>
        <v>Section 111-D: Standing charge factors</v>
      </c>
    </row>
    <row r="171" spans="6:7" x14ac:dyDescent="0.25">
      <c r="F171" s="79" t="s">
        <v>116</v>
      </c>
      <c r="G171" s="75" t="str">
        <f ca="1">'Unit rate charges'!$C$124</f>
        <v>Section 111-E: Contributions to unit rate 1 p/kWh by network level (taking account of standing charges)</v>
      </c>
    </row>
    <row r="172" spans="6:7" x14ac:dyDescent="0.25">
      <c r="F172" s="79" t="s">
        <v>116</v>
      </c>
      <c r="G172" s="75" t="str">
        <f ca="1">'Unit rate charges'!$C$154</f>
        <v>Section 111-F: Contributions to unit rate 2 p/kWh by network level (taking account of standing charges)</v>
      </c>
    </row>
    <row r="173" spans="6:7" x14ac:dyDescent="0.25">
      <c r="F173" s="79" t="s">
        <v>116</v>
      </c>
      <c r="G173" s="75" t="str">
        <f ca="1">'Unit rate charges'!$C$184</f>
        <v>Section 111-G: Contributions to unit rate 3 p/kWh by network level (taking account of standing charges)</v>
      </c>
    </row>
    <row r="174" spans="6:7" ht="15.75" thickBot="1" x14ac:dyDescent="0.3">
      <c r="F174" s="79" t="s">
        <v>116</v>
      </c>
      <c r="G174" s="75" t="str">
        <f ca="1">'Unit rate charges'!$C$214</f>
        <v>Section 111-H: Unit rates, post application of standing charges</v>
      </c>
    </row>
    <row r="175" spans="6:7" ht="15.75" thickTop="1" x14ac:dyDescent="0.25">
      <c r="F175" s="78" t="s">
        <v>86</v>
      </c>
      <c r="G175" s="75" t="str">
        <f ca="1">'Capacity charges'!$C$19</f>
        <v>Section 112-A: Inputs to capacity charge calculations</v>
      </c>
    </row>
    <row r="176" spans="6:7" x14ac:dyDescent="0.25">
      <c r="F176" s="79" t="s">
        <v>116</v>
      </c>
      <c r="G176" s="75" t="str">
        <f ca="1">'Capacity charges'!$C$129</f>
        <v>Section 112-B: Capacity-based charge elements (to be split between capacity &amp; fixed charges)</v>
      </c>
    </row>
    <row r="177" spans="6:7" x14ac:dyDescent="0.25">
      <c r="F177" s="79" t="s">
        <v>116</v>
      </c>
      <c r="G177" s="75" t="str">
        <f ca="1">'Capacity charges'!$C$159</f>
        <v>Section 112-C: Exceeded capacity-based charge elements</v>
      </c>
    </row>
    <row r="178" spans="6:7" x14ac:dyDescent="0.25">
      <c r="F178" s="79" t="s">
        <v>116</v>
      </c>
      <c r="G178" s="75" t="str">
        <f ca="1">'Capacity charges'!$C$189</f>
        <v>Section 112-D: Capacity charges for eligible customers, by network level</v>
      </c>
    </row>
    <row r="179" spans="6:7" x14ac:dyDescent="0.25">
      <c r="F179" s="79" t="s">
        <v>116</v>
      </c>
      <c r="G179" s="75" t="str">
        <f ca="1">'Capacity charges'!$C$219</f>
        <v>Section 112-E: Exceeded capacity charges for eligible customers, by network level</v>
      </c>
    </row>
    <row r="180" spans="6:7" x14ac:dyDescent="0.25">
      <c r="F180" s="79" t="s">
        <v>116</v>
      </c>
      <c r="G180" s="75" t="str">
        <f ca="1">'Capacity charges'!$C$254</f>
        <v>Section 112-F: Capacity and exceeded capacity charges</v>
      </c>
    </row>
    <row r="181" spans="6:7" ht="15.75" thickBot="1" x14ac:dyDescent="0.3">
      <c r="F181" s="79" t="s">
        <v>116</v>
      </c>
      <c r="G181" s="75" t="str">
        <f ca="1">'Capacity charges'!$C$259</f>
        <v>Section 112-G: Capacity elements allocated to fixed charges</v>
      </c>
    </row>
    <row r="182" spans="6:7" ht="15.75" thickTop="1" x14ac:dyDescent="0.25">
      <c r="F182" s="78" t="s">
        <v>84</v>
      </c>
      <c r="G182" s="75" t="str">
        <f ca="1">'Reactive power charges'!$C$17</f>
        <v>Section 113-A: Inputs to reactive power charge calculations</v>
      </c>
    </row>
    <row r="183" spans="6:7" x14ac:dyDescent="0.25">
      <c r="F183" s="79" t="s">
        <v>116</v>
      </c>
      <c r="G183" s="75" t="str">
        <f ca="1">'Reactive power charges'!$C$120</f>
        <v>Section 113-B: Yardstick charge (demand)</v>
      </c>
    </row>
    <row r="184" spans="6:7" x14ac:dyDescent="0.25">
      <c r="F184" s="79" t="s">
        <v>116</v>
      </c>
      <c r="G184" s="75" t="str">
        <f ca="1">'Reactive power charges'!$C$155</f>
        <v>Section 113-C: Yardstick charge used for generation</v>
      </c>
    </row>
    <row r="185" spans="6:7" x14ac:dyDescent="0.25">
      <c r="F185" s="79" t="s">
        <v>116</v>
      </c>
      <c r="G185" s="75" t="str">
        <f ca="1">'Reactive power charges'!$C$190</f>
        <v>Section 113-D: Reactive power charges, all customer categories</v>
      </c>
    </row>
    <row r="186" spans="6:7" ht="15.75" thickBot="1" x14ac:dyDescent="0.3">
      <c r="F186" s="79" t="s">
        <v>116</v>
      </c>
      <c r="G186" s="75" t="str">
        <f ca="1">'Reactive power charges'!$C$220</f>
        <v>Section 113-E: Reactive power charges for applicable customers</v>
      </c>
    </row>
    <row r="187" spans="6:7" ht="15.75" thickTop="1" x14ac:dyDescent="0.25">
      <c r="F187" s="78" t="s">
        <v>88</v>
      </c>
      <c r="G187" s="75" t="str">
        <f ca="1">'Fixed charges'!$C$16</f>
        <v>Section 114-A: Volumes (discounted MPANs &amp; maximum load)</v>
      </c>
    </row>
    <row r="188" spans="6:7" x14ac:dyDescent="0.25">
      <c r="F188" s="79" t="s">
        <v>116</v>
      </c>
      <c r="G188" s="75" t="str">
        <f ca="1">'Fixed charges'!$C$22</f>
        <v>Section 114-B: Capacity elements allocated to fixed charges</v>
      </c>
    </row>
    <row r="189" spans="6:7" x14ac:dyDescent="0.25">
      <c r="F189" s="79" t="s">
        <v>116</v>
      </c>
      <c r="G189" s="75" t="str">
        <f ca="1">'Fixed charges'!$C$52</f>
        <v>Section 114-C: Service model costs allocated to fixed charges</v>
      </c>
    </row>
    <row r="190" spans="6:7" x14ac:dyDescent="0.25">
      <c r="F190" s="79" t="s">
        <v>116</v>
      </c>
      <c r="G190" s="75" t="str">
        <f ca="1">'Fixed charges'!$C$58</f>
        <v>Section 114-D: Flags</v>
      </c>
    </row>
    <row r="191" spans="6:7" x14ac:dyDescent="0.25">
      <c r="F191" s="79" t="s">
        <v>116</v>
      </c>
      <c r="G191" s="75" t="str">
        <f ca="1">'Fixed charges'!$C$67</f>
        <v>Section 114-E: Revenue allocated to fixed charges</v>
      </c>
    </row>
    <row r="192" spans="6:7" x14ac:dyDescent="0.25">
      <c r="F192" s="79" t="s">
        <v>116</v>
      </c>
      <c r="G192" s="75" t="str">
        <f ca="1">'Fixed charges'!$C$97</f>
        <v>Section 114-F: Revenue allocated to fixed charges, by aggregation group</v>
      </c>
    </row>
    <row r="193" spans="6:7" x14ac:dyDescent="0.25">
      <c r="F193" s="79" t="s">
        <v>116</v>
      </c>
      <c r="G193" s="75" t="str">
        <f ca="1">'Fixed charges'!$C$127</f>
        <v>Section 114-G: Fixed charges, by network level</v>
      </c>
    </row>
    <row r="194" spans="6:7" ht="15.75" thickBot="1" x14ac:dyDescent="0.3">
      <c r="F194" s="79" t="s">
        <v>116</v>
      </c>
      <c r="G194" s="75" t="str">
        <f ca="1">'Fixed charges'!$C$159</f>
        <v>Section 114-H: Aggregated fixed charges</v>
      </c>
    </row>
    <row r="195" spans="6:7" ht="15.75" thickTop="1" x14ac:dyDescent="0.25">
      <c r="F195" s="78" t="s">
        <v>1141</v>
      </c>
      <c r="G195" s="75" t="str">
        <f ca="1">'SoLR &amp; bad debt adders'!$C$16</f>
        <v>Section 115-A: Inputs for fixed tariff adjustments</v>
      </c>
    </row>
    <row r="196" spans="6:7" x14ac:dyDescent="0.25">
      <c r="F196" s="79" t="s">
        <v>116</v>
      </c>
      <c r="G196" s="75" t="str">
        <f ca="1">'SoLR &amp; bad debt adders'!$C$35</f>
        <v>Section 115-B: Calculation of fixed tariff adjustments</v>
      </c>
    </row>
    <row r="197" spans="6:7" ht="15.75" thickBot="1" x14ac:dyDescent="0.3">
      <c r="F197" s="79" t="s">
        <v>116</v>
      </c>
      <c r="G197" s="75" t="str">
        <f ca="1">'SoLR &amp; bad debt adders'!$C$53</f>
        <v>Section 115-C: Calculation of fixed charge adder revenue</v>
      </c>
    </row>
    <row r="198" spans="6:7" ht="15.75" thickTop="1" x14ac:dyDescent="0.25">
      <c r="F198" s="78" t="s">
        <v>90</v>
      </c>
      <c r="G198" s="75" t="str">
        <f ca="1">'Revenue matching'!$C$15</f>
        <v>Section 116-A: Inputs to revenue matching</v>
      </c>
    </row>
    <row r="199" spans="6:7" x14ac:dyDescent="0.25">
      <c r="F199" s="79" t="s">
        <v>116</v>
      </c>
      <c r="G199" s="75" t="str">
        <f ca="1">'Revenue matching'!$C$70</f>
        <v>Section 116-B: Net revenue before matching</v>
      </c>
    </row>
    <row r="200" spans="6:7" x14ac:dyDescent="0.25">
      <c r="F200" s="79" t="s">
        <v>116</v>
      </c>
      <c r="G200" s="75" t="str">
        <f ca="1">'Revenue matching'!$C$89</f>
        <v>Section 116-C: Grouping of residual bands where a band has insufficient customers</v>
      </c>
    </row>
    <row r="201" spans="6:7" x14ac:dyDescent="0.25">
      <c r="F201" s="79" t="s">
        <v>116</v>
      </c>
      <c r="G201" s="75" t="str">
        <f ca="1">'Revenue matching'!$C$152</f>
        <v>Section 116-D: Calculating MPANs for matching</v>
      </c>
    </row>
    <row r="202" spans="6:7" x14ac:dyDescent="0.25">
      <c r="F202" s="79" t="s">
        <v>116</v>
      </c>
      <c r="G202" s="75" t="str">
        <f ca="1">'Revenue matching'!$C$160</f>
        <v>Section 116-E: Calculating unit volumes for matching</v>
      </c>
    </row>
    <row r="203" spans="6:7" x14ac:dyDescent="0.25">
      <c r="F203" s="79" t="s">
        <v>116</v>
      </c>
      <c r="G203" s="75" t="str">
        <f ca="1">'Revenue matching'!$C$177</f>
        <v>Section 116-F: Allocating revenue to tariffs</v>
      </c>
    </row>
    <row r="204" spans="6:7" x14ac:dyDescent="0.25">
      <c r="F204" s="79" t="s">
        <v>116</v>
      </c>
      <c r="G204" s="75" t="str">
        <f ca="1">'Revenue matching'!$C$193</f>
        <v>Section 116-G: Calculating the residual fixed charge</v>
      </c>
    </row>
    <row r="205" spans="6:7" x14ac:dyDescent="0.25">
      <c r="F205" s="79" t="s">
        <v>116</v>
      </c>
      <c r="G205" s="75" t="str">
        <f ca="1">'Revenue matching'!$C$201</f>
        <v>Section 116-H: Calculating the initial residual unit rate</v>
      </c>
    </row>
    <row r="206" spans="6:7" x14ac:dyDescent="0.25">
      <c r="F206" s="79" t="s">
        <v>116</v>
      </c>
      <c r="G206" s="75" t="str">
        <f ca="1">'Revenue matching'!$C$214</f>
        <v>Section 116-I: Floor on negative residual fixed charges</v>
      </c>
    </row>
    <row r="207" spans="6:7" x14ac:dyDescent="0.25">
      <c r="F207" s="79" t="s">
        <v>116</v>
      </c>
      <c r="G207" s="75" t="str">
        <f ca="1">'Revenue matching'!$C$233</f>
        <v>Section 116-J: Ranking unit rate volumes and tariffs</v>
      </c>
    </row>
    <row r="208" spans="6:7" x14ac:dyDescent="0.25">
      <c r="F208" s="79" t="s">
        <v>116</v>
      </c>
      <c r="G208" s="75" t="str">
        <f ca="1">'Revenue matching'!$C$287</f>
        <v>Section 116-K: Revenue matching for three timebands</v>
      </c>
    </row>
    <row r="209" spans="6:7" x14ac:dyDescent="0.25">
      <c r="F209" s="79" t="s">
        <v>116</v>
      </c>
      <c r="G209" s="75" t="str">
        <f ca="1">'Revenue matching'!$C$314</f>
        <v>Section 116-L: Revenue matching for two timebands</v>
      </c>
    </row>
    <row r="210" spans="6:7" x14ac:dyDescent="0.25">
      <c r="F210" s="79" t="s">
        <v>116</v>
      </c>
      <c r="G210" s="75" t="str">
        <f ca="1">'Revenue matching'!$C$346</f>
        <v>Section 116-M: Revenue matching for one timeband</v>
      </c>
    </row>
    <row r="211" spans="6:7" x14ac:dyDescent="0.25">
      <c r="F211" s="79" t="s">
        <v>116</v>
      </c>
      <c r="G211" s="75" t="str">
        <f ca="1">'Revenue matching'!$C$378</f>
        <v>Section 116-N: Revenue matching adders by timeband</v>
      </c>
    </row>
    <row r="212" spans="6:7" ht="15.75" thickBot="1" x14ac:dyDescent="0.3">
      <c r="F212" s="79" t="s">
        <v>116</v>
      </c>
      <c r="G212" s="75" t="str">
        <f ca="1">'Revenue matching'!$C$410</f>
        <v>Section 116-O: Final adders</v>
      </c>
    </row>
    <row r="213" spans="6:7" ht="15.75" thickTop="1" x14ac:dyDescent="0.25">
      <c r="F213" s="78" t="s">
        <v>92</v>
      </c>
      <c r="G213" s="75" t="str">
        <f ca="1">Rounding!$C$16</f>
        <v>Section 117-A: Pre-match, pre-rounding tariff forecast</v>
      </c>
    </row>
    <row r="214" spans="6:7" x14ac:dyDescent="0.25">
      <c r="F214" s="79" t="s">
        <v>116</v>
      </c>
      <c r="G214" s="75" t="str">
        <f ca="1">Rounding!$C$28</f>
        <v>Section 117-B: Adders for revenue matching</v>
      </c>
    </row>
    <row r="215" spans="6:7" x14ac:dyDescent="0.25">
      <c r="F215" s="79" t="s">
        <v>116</v>
      </c>
      <c r="G215" s="75" t="str">
        <f ca="1">Rounding!$C$40</f>
        <v>Section 117-C: Adder to fixed charge for allocated pass-through costs</v>
      </c>
    </row>
    <row r="216" spans="6:7" x14ac:dyDescent="0.25">
      <c r="F216" s="79" t="s">
        <v>116</v>
      </c>
      <c r="G216" s="75" t="str">
        <f ca="1">Rounding!$C$52</f>
        <v>Section 117-D: LDNO discounts</v>
      </c>
    </row>
    <row r="217" spans="6:7" x14ac:dyDescent="0.25">
      <c r="F217" s="79" t="s">
        <v>116</v>
      </c>
      <c r="G217" s="75" t="str">
        <f ca="1">Rounding!$C$92</f>
        <v>Section 117-E: Decimal places for rounding</v>
      </c>
    </row>
    <row r="218" spans="6:7" x14ac:dyDescent="0.25">
      <c r="F218" s="79" t="s">
        <v>116</v>
      </c>
      <c r="G218" s="75" t="str">
        <f ca="1">Rounding!$C$107</f>
        <v>Section 117-F: Tariff forecast, post-revenue matching</v>
      </c>
    </row>
    <row r="219" spans="6:7" x14ac:dyDescent="0.25">
      <c r="F219" s="79" t="s">
        <v>116</v>
      </c>
      <c r="G219" s="75" t="str">
        <f ca="1">Rounding!$C$118</f>
        <v>Section 117-G: Tariff forecast, post-adders &amp; discounting</v>
      </c>
    </row>
    <row r="220" spans="6:7" ht="15.75" thickBot="1" x14ac:dyDescent="0.3">
      <c r="F220" s="79" t="s">
        <v>116</v>
      </c>
      <c r="G220" s="75" t="str">
        <f ca="1">Rounding!$C$147</f>
        <v>Section 117-H: Tariff forecast, post-rounding</v>
      </c>
    </row>
    <row r="221" spans="6:7" ht="15.75" thickTop="1" x14ac:dyDescent="0.25">
      <c r="F221" s="78" t="s">
        <v>94</v>
      </c>
      <c r="G221" s="75" t="str">
        <f ca="1">'Net revenue summary'!$C$13</f>
        <v>Section 118-A: Volume forecasts</v>
      </c>
    </row>
    <row r="222" spans="6:7" x14ac:dyDescent="0.25">
      <c r="F222" s="79" t="s">
        <v>116</v>
      </c>
      <c r="G222" s="75" t="str">
        <f ca="1">'Net revenue summary'!$C$52</f>
        <v>Section 118-B: Tariff forecast</v>
      </c>
    </row>
    <row r="223" spans="6:7" x14ac:dyDescent="0.25">
      <c r="F223" s="79" t="s">
        <v>116</v>
      </c>
      <c r="G223" s="75" t="str">
        <f ca="1">'Net revenue summary'!$C$81</f>
        <v>Section 118-C: Net revenue components</v>
      </c>
    </row>
    <row r="224" spans="6:7" x14ac:dyDescent="0.25">
      <c r="F224" s="79" t="s">
        <v>116</v>
      </c>
      <c r="G224" s="75" t="str">
        <f ca="1">'Net revenue summary'!$C$92</f>
        <v>Section 118-D: Net revenue by tariff</v>
      </c>
    </row>
    <row r="225" spans="2:7" x14ac:dyDescent="0.25">
      <c r="F225" s="79" t="s">
        <v>116</v>
      </c>
      <c r="G225" s="75" t="str">
        <f ca="1">'Net revenue summary'!$C$124</f>
        <v>Section 118-E: Net revenue summary (for information only)</v>
      </c>
    </row>
    <row r="226" spans="2:7" x14ac:dyDescent="0.25">
      <c r="F226" s="79" t="s">
        <v>116</v>
      </c>
      <c r="G226" s="75" t="str">
        <f ca="1">'Net revenue summary'!$C$138</f>
        <v>Section 118-F: Typical bills</v>
      </c>
    </row>
    <row r="227" spans="2:7" x14ac:dyDescent="0.25">
      <c r="F227" s="79" t="s">
        <v>116</v>
      </c>
      <c r="G227" s="75" t="str">
        <f ca="1">'Net revenue summary'!$C$144</f>
        <v>Section 118-G: Average bill per kWh</v>
      </c>
    </row>
    <row r="228" spans="2:7" x14ac:dyDescent="0.25">
      <c r="F228" s="79" t="s">
        <v>116</v>
      </c>
      <c r="G228" s="75" t="str">
        <f ca="1">'Net revenue summary'!$C$152</f>
        <v>Section 118-H: Previous year all the way tariff forecast</v>
      </c>
    </row>
    <row r="229" spans="2:7" x14ac:dyDescent="0.25">
      <c r="F229" s="79" t="s">
        <v>116</v>
      </c>
      <c r="G229" s="75" t="str">
        <f ca="1">'Net revenue summary'!$C$163</f>
        <v>Section 118-I: Previous year net revenue from all the way tariff forecast</v>
      </c>
    </row>
    <row r="230" spans="2:7" x14ac:dyDescent="0.25">
      <c r="F230" s="79" t="s">
        <v>116</v>
      </c>
      <c r="G230" s="75" t="str">
        <f ca="1">'Net revenue summary'!$C$178</f>
        <v>Section 118-J: LDNO typical bills using all-the-way volumes</v>
      </c>
    </row>
    <row r="231" spans="2:7" ht="15.75" thickBot="1" x14ac:dyDescent="0.3">
      <c r="F231" s="79" t="s">
        <v>116</v>
      </c>
      <c r="G231" s="75" t="str">
        <f ca="1">'Net revenue summary'!$C$202</f>
        <v>Section 118-K: LDNO margins</v>
      </c>
    </row>
    <row r="232" spans="2:7" ht="16.5" thickTop="1" thickBot="1" x14ac:dyDescent="0.3">
      <c r="F232" s="80" t="s">
        <v>96</v>
      </c>
      <c r="G232" s="75" t="str">
        <f>'Tariff summary'!$C$13</f>
        <v>Output 101-A: Tariffs for 2025/26</v>
      </c>
    </row>
    <row r="233" spans="2:7" ht="15.75" thickTop="1" x14ac:dyDescent="0.25">
      <c r="F233" s="80" t="s">
        <v>98</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116</v>
      </c>
      <c r="G235" s="75" t="str">
        <f ca="1">'Output to other models'!$C$33</f>
        <v>Output 102-C: CDCM end user tariff forecast</v>
      </c>
    </row>
    <row r="236" spans="2:7" x14ac:dyDescent="0.25">
      <c r="F236" s="81" t="s">
        <v>116</v>
      </c>
      <c r="G236" s="75" t="str">
        <f ca="1">'Output to other models'!$C$51</f>
        <v>Output 102-D: CDCM non-tariff outputs to EDCM</v>
      </c>
    </row>
    <row r="237" spans="2:7" x14ac:dyDescent="0.25">
      <c r="F237" s="81" t="s">
        <v>116</v>
      </c>
      <c r="G237" s="75" t="str">
        <f ca="1">'Output to other models'!$C$63</f>
        <v>Output 102-E: Outputs for DNOs' internal use</v>
      </c>
    </row>
    <row r="238" spans="2:7" x14ac:dyDescent="0.25">
      <c r="F238" s="81" t="s">
        <v>116</v>
      </c>
      <c r="G238" s="75" t="str">
        <f ca="1">'Output to other models'!$C$73</f>
        <v>Output 102-F: Outputs for IDNOs' internal use</v>
      </c>
    </row>
    <row r="240" spans="2:7" x14ac:dyDescent="0.25">
      <c r="B240" s="70" t="s">
        <v>106</v>
      </c>
      <c r="C240" s="70"/>
      <c r="D240" s="70"/>
      <c r="E240" s="70"/>
      <c r="F240" s="70"/>
      <c r="G240" s="70"/>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activeCell="A4" sqref="A4"/>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Distribution - One</v>
      </c>
    </row>
    <row r="3" spans="1:8" s="5" customFormat="1" x14ac:dyDescent="0.25">
      <c r="A3" s="5" t="str">
        <f>Cover!D2&amp;" - "&amp;Cover!D8&amp;" v"&amp;Cover!D10&amp;" - "&amp;Cover!D19</f>
        <v>CDCM charging model - Release for charge setting v10 - 2025/26</v>
      </c>
    </row>
    <row r="5" spans="1:8" x14ac:dyDescent="0.25">
      <c r="B5" s="49" t="s">
        <v>121</v>
      </c>
      <c r="C5" s="49"/>
      <c r="D5" s="49"/>
      <c r="E5" s="49"/>
      <c r="F5" s="50"/>
      <c r="G5" s="50"/>
      <c r="H5" s="50"/>
    </row>
    <row r="6" spans="1:8" x14ac:dyDescent="0.25">
      <c r="B6" s="48"/>
      <c r="C6" s="48"/>
      <c r="D6" s="48"/>
      <c r="E6" s="48"/>
      <c r="F6" s="51"/>
      <c r="G6" s="48"/>
      <c r="H6" s="48"/>
    </row>
    <row r="7" spans="1:8" x14ac:dyDescent="0.25">
      <c r="F7" s="75" t="s">
        <v>122</v>
      </c>
      <c r="G7" t="s">
        <v>123</v>
      </c>
      <c r="H7" t="s">
        <v>114</v>
      </c>
    </row>
    <row r="8" spans="1:8" x14ac:dyDescent="0.25">
      <c r="F8" s="75" t="s">
        <v>124</v>
      </c>
      <c r="G8" t="s">
        <v>125</v>
      </c>
      <c r="H8" t="s">
        <v>53</v>
      </c>
    </row>
    <row r="9" spans="1:8" x14ac:dyDescent="0.25">
      <c r="F9" s="75" t="s">
        <v>126</v>
      </c>
      <c r="G9" t="s">
        <v>127</v>
      </c>
      <c r="H9" t="s">
        <v>60</v>
      </c>
    </row>
    <row r="10" spans="1:8" x14ac:dyDescent="0.25">
      <c r="F10" s="75" t="s">
        <v>128</v>
      </c>
      <c r="G10" t="s">
        <v>129</v>
      </c>
      <c r="H10" t="s">
        <v>114</v>
      </c>
    </row>
    <row r="11" spans="1:8" x14ac:dyDescent="0.25">
      <c r="F11" s="75" t="s">
        <v>130</v>
      </c>
      <c r="G11" t="s">
        <v>131</v>
      </c>
      <c r="H11" t="s">
        <v>53</v>
      </c>
    </row>
    <row r="12" spans="1:8" x14ac:dyDescent="0.25">
      <c r="F12" s="75" t="s">
        <v>132</v>
      </c>
      <c r="G12" t="s">
        <v>133</v>
      </c>
      <c r="H12" t="s">
        <v>60</v>
      </c>
    </row>
    <row r="13" spans="1:8" x14ac:dyDescent="0.25">
      <c r="F13" s="75" t="s">
        <v>134</v>
      </c>
      <c r="G13" t="s">
        <v>135</v>
      </c>
      <c r="H13" t="s">
        <v>53</v>
      </c>
    </row>
    <row r="14" spans="1:8" x14ac:dyDescent="0.25">
      <c r="F14" s="75" t="s">
        <v>136</v>
      </c>
      <c r="G14" t="s">
        <v>137</v>
      </c>
      <c r="H14" t="s">
        <v>53</v>
      </c>
    </row>
    <row r="15" spans="1:8" x14ac:dyDescent="0.25">
      <c r="F15" s="75" t="s">
        <v>138</v>
      </c>
      <c r="G15" t="s">
        <v>139</v>
      </c>
      <c r="H15" t="s">
        <v>53</v>
      </c>
    </row>
    <row r="16" spans="1:8" x14ac:dyDescent="0.25">
      <c r="F16" s="75" t="s">
        <v>140</v>
      </c>
      <c r="G16" t="s">
        <v>141</v>
      </c>
      <c r="H16" t="s">
        <v>53</v>
      </c>
    </row>
    <row r="17" spans="2:8" x14ac:dyDescent="0.25">
      <c r="F17" s="75"/>
    </row>
    <row r="18" spans="2:8" x14ac:dyDescent="0.25">
      <c r="B18" s="49" t="s">
        <v>106</v>
      </c>
      <c r="C18" s="49"/>
      <c r="D18" s="49"/>
      <c r="E18" s="49"/>
      <c r="F18" s="50"/>
      <c r="G18" s="50"/>
      <c r="H18" s="50"/>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146</v>
      </c>
    </row>
    <row r="11" spans="1:43" x14ac:dyDescent="0.25">
      <c r="B11" s="70" t="s">
        <v>53</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131</v>
      </c>
      <c r="G15" t="s">
        <v>147</v>
      </c>
      <c r="H15" s="7">
        <v>24</v>
      </c>
    </row>
    <row r="16" spans="1:43" x14ac:dyDescent="0.25">
      <c r="E16" s="89" t="s">
        <v>148</v>
      </c>
      <c r="G16" t="s">
        <v>149</v>
      </c>
      <c r="H16" s="7">
        <v>10</v>
      </c>
    </row>
    <row r="17" spans="3:43" x14ac:dyDescent="0.25">
      <c r="E17" s="89" t="s">
        <v>150</v>
      </c>
      <c r="G17" t="s">
        <v>149</v>
      </c>
      <c r="H17" s="7">
        <v>100</v>
      </c>
    </row>
    <row r="18" spans="3:43" x14ac:dyDescent="0.25">
      <c r="E18" s="89" t="s">
        <v>151</v>
      </c>
      <c r="G18" t="s">
        <v>149</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152</v>
      </c>
    </row>
    <row r="23" spans="3:43" x14ac:dyDescent="0.25">
      <c r="E23" s="60"/>
    </row>
    <row r="24" spans="3:43" x14ac:dyDescent="0.25">
      <c r="E24" s="60" t="s">
        <v>153</v>
      </c>
      <c r="F24" s="71"/>
      <c r="I24" t="s">
        <v>154</v>
      </c>
      <c r="AQ24" t="s">
        <v>155</v>
      </c>
    </row>
    <row r="25" spans="3:43" x14ac:dyDescent="0.25">
      <c r="F25" s="90" t="s">
        <v>156</v>
      </c>
      <c r="G25" s="90" t="s">
        <v>149</v>
      </c>
      <c r="H25" s="8">
        <v>3</v>
      </c>
    </row>
    <row r="26" spans="3:43" x14ac:dyDescent="0.25">
      <c r="F26" t="s">
        <v>157</v>
      </c>
      <c r="G26" t="s">
        <v>149</v>
      </c>
      <c r="H26" s="7">
        <v>3</v>
      </c>
    </row>
    <row r="27" spans="3:43" x14ac:dyDescent="0.25">
      <c r="F27" t="s">
        <v>158</v>
      </c>
      <c r="G27" t="s">
        <v>149</v>
      </c>
      <c r="H27" s="7">
        <v>3</v>
      </c>
    </row>
    <row r="28" spans="3:43" x14ac:dyDescent="0.25">
      <c r="F28" t="s">
        <v>159</v>
      </c>
      <c r="G28" t="s">
        <v>149</v>
      </c>
      <c r="H28" s="7">
        <v>2</v>
      </c>
    </row>
    <row r="29" spans="3:43" x14ac:dyDescent="0.25">
      <c r="F29" t="s">
        <v>160</v>
      </c>
      <c r="G29" t="s">
        <v>149</v>
      </c>
      <c r="H29" s="7">
        <v>2</v>
      </c>
    </row>
    <row r="30" spans="3:43" x14ac:dyDescent="0.25">
      <c r="F30" t="s">
        <v>161</v>
      </c>
      <c r="G30" t="s">
        <v>149</v>
      </c>
      <c r="H30" s="7">
        <v>2</v>
      </c>
    </row>
    <row r="31" spans="3:43" x14ac:dyDescent="0.25">
      <c r="F31" s="91" t="s">
        <v>162</v>
      </c>
      <c r="G31" s="91" t="s">
        <v>149</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163</v>
      </c>
      <c r="G35" t="s">
        <v>164</v>
      </c>
      <c r="H35" s="7">
        <v>40</v>
      </c>
      <c r="I35" t="s">
        <v>154</v>
      </c>
      <c r="AQ35" s="3" t="s">
        <v>165</v>
      </c>
    </row>
    <row r="37" spans="3:43" x14ac:dyDescent="0.25">
      <c r="E37" s="89" t="s">
        <v>166</v>
      </c>
      <c r="G37" t="s">
        <v>167</v>
      </c>
      <c r="H37" s="7">
        <v>0.95</v>
      </c>
      <c r="I37" t="s">
        <v>154</v>
      </c>
      <c r="AQ37" t="s">
        <v>168</v>
      </c>
    </row>
    <row r="39" spans="3:43" x14ac:dyDescent="0.25">
      <c r="E39" s="89" t="s">
        <v>169</v>
      </c>
      <c r="G39" t="s">
        <v>167</v>
      </c>
      <c r="H39" s="10">
        <v>0.6</v>
      </c>
      <c r="I39" t="s">
        <v>154</v>
      </c>
      <c r="AQ39" s="3" t="s">
        <v>170</v>
      </c>
    </row>
    <row r="41" spans="3:43" x14ac:dyDescent="0.25">
      <c r="E41" s="89" t="s">
        <v>171</v>
      </c>
      <c r="G41" s="89" t="s">
        <v>172</v>
      </c>
      <c r="H41" s="7">
        <v>500</v>
      </c>
      <c r="I41" t="s">
        <v>154</v>
      </c>
      <c r="AQ41" s="92" t="s">
        <v>173</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174</v>
      </c>
    </row>
    <row r="46" spans="3:43" x14ac:dyDescent="0.25">
      <c r="F46" s="93" t="s">
        <v>175</v>
      </c>
      <c r="G46" s="90" t="s">
        <v>176</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177</v>
      </c>
      <c r="G47" t="s">
        <v>176</v>
      </c>
      <c r="J47" s="7">
        <v>1</v>
      </c>
      <c r="K47" s="7">
        <v>1</v>
      </c>
      <c r="L47" s="7">
        <v>1</v>
      </c>
      <c r="M47" s="7">
        <v>1</v>
      </c>
      <c r="N47" s="7">
        <v>1</v>
      </c>
      <c r="O47" s="7">
        <v>0</v>
      </c>
      <c r="P47" s="7">
        <v>0</v>
      </c>
      <c r="Q47" s="7">
        <v>1</v>
      </c>
      <c r="R47" s="95"/>
      <c r="S47" s="95"/>
      <c r="T47" s="95"/>
      <c r="U47" s="95"/>
      <c r="V47" s="95"/>
      <c r="W47" s="95"/>
      <c r="X47" s="95"/>
      <c r="Y47" s="95"/>
    </row>
    <row r="48" spans="3:43" x14ac:dyDescent="0.25">
      <c r="F48" s="89" t="s">
        <v>178</v>
      </c>
      <c r="G48" t="s">
        <v>176</v>
      </c>
      <c r="J48" s="7">
        <v>0</v>
      </c>
      <c r="K48" s="7">
        <v>0</v>
      </c>
      <c r="L48" s="7">
        <v>0</v>
      </c>
      <c r="M48" s="7">
        <v>0</v>
      </c>
      <c r="N48" s="7">
        <v>0</v>
      </c>
      <c r="O48" s="7">
        <v>1</v>
      </c>
      <c r="P48" s="7">
        <v>0</v>
      </c>
      <c r="Q48" s="7">
        <v>0</v>
      </c>
      <c r="R48" s="95"/>
      <c r="S48" s="95"/>
      <c r="T48" s="95"/>
      <c r="U48" s="95"/>
      <c r="V48" s="95"/>
      <c r="W48" s="95"/>
      <c r="X48" s="95"/>
      <c r="Y48" s="95"/>
    </row>
    <row r="49" spans="5:43" x14ac:dyDescent="0.25">
      <c r="F49" s="96" t="s">
        <v>179</v>
      </c>
      <c r="G49" s="91" t="s">
        <v>176</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180</v>
      </c>
      <c r="I51" t="s">
        <v>154</v>
      </c>
      <c r="AQ51" s="3" t="s">
        <v>181</v>
      </c>
    </row>
    <row r="52" spans="5:43" x14ac:dyDescent="0.25">
      <c r="E52" s="71" t="s">
        <v>182</v>
      </c>
    </row>
    <row r="53" spans="5:43" x14ac:dyDescent="0.25">
      <c r="F53" s="93" t="s">
        <v>183</v>
      </c>
      <c r="G53" s="90" t="s">
        <v>176</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184</v>
      </c>
      <c r="G54" t="s">
        <v>176</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185</v>
      </c>
      <c r="G55" t="s">
        <v>176</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186</v>
      </c>
      <c r="G56" s="91" t="s">
        <v>176</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187</v>
      </c>
    </row>
    <row r="59" spans="5:43" x14ac:dyDescent="0.25">
      <c r="E59" s="71" t="s">
        <v>188</v>
      </c>
    </row>
    <row r="60" spans="5:43" x14ac:dyDescent="0.25">
      <c r="F60" s="90" t="s">
        <v>189</v>
      </c>
      <c r="G60" s="90" t="s">
        <v>190</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191</v>
      </c>
      <c r="G61" t="s">
        <v>190</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192</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193</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194</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195</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196</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197</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198</v>
      </c>
      <c r="G68" t="s">
        <v>190</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199</v>
      </c>
      <c r="G69" s="91" t="s">
        <v>190</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200</v>
      </c>
      <c r="I71" t="s">
        <v>154</v>
      </c>
      <c r="AQ71" s="3" t="s">
        <v>201</v>
      </c>
    </row>
    <row r="72" spans="5:43" x14ac:dyDescent="0.25">
      <c r="E72" s="71" t="s">
        <v>202</v>
      </c>
    </row>
    <row r="73" spans="5:43" x14ac:dyDescent="0.25">
      <c r="E73" s="71"/>
      <c r="F73" s="90" t="s">
        <v>189</v>
      </c>
      <c r="G73" s="90" t="s">
        <v>190</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191</v>
      </c>
      <c r="G74" t="s">
        <v>190</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192</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193</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194</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195</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196</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197</v>
      </c>
      <c r="G80" t="s">
        <v>190</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198</v>
      </c>
      <c r="G81" t="s">
        <v>190</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199</v>
      </c>
      <c r="G82" s="91" t="s">
        <v>190</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120</v>
      </c>
      <c r="F86" s="60"/>
      <c r="I86" t="s">
        <v>154</v>
      </c>
      <c r="AQ86" t="s">
        <v>203</v>
      </c>
    </row>
    <row r="87" spans="3:43" x14ac:dyDescent="0.25">
      <c r="E87" s="71" t="s">
        <v>858</v>
      </c>
      <c r="F87" s="71"/>
    </row>
    <row r="88" spans="3:43" x14ac:dyDescent="0.25">
      <c r="E88" s="71"/>
      <c r="F88" s="90" t="s">
        <v>189</v>
      </c>
      <c r="G88" s="90" t="s">
        <v>167</v>
      </c>
      <c r="H88" s="90"/>
      <c r="I88" s="90"/>
      <c r="J88" s="94"/>
      <c r="K88" s="94"/>
      <c r="L88" s="94"/>
      <c r="M88" s="94"/>
      <c r="N88" s="94"/>
      <c r="O88" s="94"/>
      <c r="P88" s="94"/>
      <c r="Q88" s="94"/>
      <c r="R88" s="94"/>
      <c r="S88" s="94"/>
      <c r="T88" s="94"/>
      <c r="U88" s="94"/>
      <c r="V88" s="94"/>
      <c r="W88" s="94"/>
      <c r="X88" s="94"/>
      <c r="Y88" s="94"/>
    </row>
    <row r="89" spans="3:43" x14ac:dyDescent="0.25">
      <c r="E89" s="71"/>
      <c r="F89" t="s">
        <v>191</v>
      </c>
      <c r="G89" t="s">
        <v>167</v>
      </c>
      <c r="J89" s="95"/>
      <c r="K89" s="95"/>
      <c r="L89" s="95"/>
      <c r="M89" s="95"/>
      <c r="N89" s="95"/>
      <c r="O89" s="95"/>
      <c r="P89" s="95"/>
      <c r="Q89" s="95"/>
      <c r="R89" s="95"/>
      <c r="S89" s="95"/>
      <c r="T89" s="95"/>
      <c r="U89" s="95"/>
      <c r="V89" s="95"/>
      <c r="W89" s="95"/>
      <c r="X89" s="95"/>
      <c r="Y89" s="95"/>
    </row>
    <row r="90" spans="3:43" x14ac:dyDescent="0.25">
      <c r="E90" s="71"/>
      <c r="F90" t="s">
        <v>192</v>
      </c>
      <c r="G90" t="s">
        <v>167</v>
      </c>
      <c r="J90" s="98"/>
      <c r="K90" s="98"/>
      <c r="L90" s="98"/>
      <c r="M90" s="98"/>
      <c r="N90" s="98"/>
      <c r="O90" s="98"/>
      <c r="P90" s="98"/>
      <c r="Q90" s="98"/>
      <c r="R90" s="95"/>
      <c r="S90" s="95"/>
      <c r="T90" s="95"/>
      <c r="U90" s="95"/>
      <c r="V90" s="95"/>
      <c r="W90" s="95"/>
      <c r="X90" s="95"/>
      <c r="Y90" s="95"/>
    </row>
    <row r="91" spans="3:43" x14ac:dyDescent="0.25">
      <c r="E91" s="71"/>
      <c r="F91" t="s">
        <v>193</v>
      </c>
      <c r="G91" t="s">
        <v>167</v>
      </c>
      <c r="J91" s="98"/>
      <c r="K91" s="98"/>
      <c r="L91" s="98"/>
      <c r="M91" s="98"/>
      <c r="N91" s="98"/>
      <c r="O91" s="98"/>
      <c r="P91" s="98"/>
      <c r="Q91" s="98"/>
      <c r="R91" s="95"/>
      <c r="S91" s="95"/>
      <c r="T91" s="95"/>
      <c r="U91" s="95"/>
      <c r="V91" s="95"/>
      <c r="W91" s="95"/>
      <c r="X91" s="95"/>
      <c r="Y91" s="95"/>
    </row>
    <row r="92" spans="3:43" x14ac:dyDescent="0.25">
      <c r="E92" s="71"/>
      <c r="F92" t="s">
        <v>194</v>
      </c>
      <c r="G92" t="s">
        <v>167</v>
      </c>
      <c r="J92" s="98"/>
      <c r="K92" s="98"/>
      <c r="L92" s="98"/>
      <c r="M92" s="98"/>
      <c r="N92" s="98"/>
      <c r="O92" s="98"/>
      <c r="P92" s="10">
        <v>0.2</v>
      </c>
      <c r="Q92" s="98"/>
      <c r="R92" s="95"/>
      <c r="S92" s="95"/>
      <c r="T92" s="95"/>
      <c r="U92" s="95"/>
      <c r="V92" s="95"/>
      <c r="W92" s="95"/>
      <c r="X92" s="95"/>
      <c r="Y92" s="95"/>
    </row>
    <row r="93" spans="3:43" x14ac:dyDescent="0.25">
      <c r="E93" s="71"/>
      <c r="F93" t="s">
        <v>195</v>
      </c>
      <c r="G93" t="s">
        <v>167</v>
      </c>
      <c r="J93" s="98"/>
      <c r="K93" s="98"/>
      <c r="L93" s="98"/>
      <c r="M93" s="98"/>
      <c r="N93" s="98"/>
      <c r="O93" s="98"/>
      <c r="P93" s="10">
        <v>1</v>
      </c>
      <c r="Q93" s="98"/>
      <c r="R93" s="95"/>
      <c r="S93" s="95"/>
      <c r="T93" s="95"/>
      <c r="U93" s="95"/>
      <c r="V93" s="95"/>
      <c r="W93" s="95"/>
      <c r="X93" s="95"/>
      <c r="Y93" s="95"/>
    </row>
    <row r="94" spans="3:43" x14ac:dyDescent="0.25">
      <c r="E94" s="71"/>
      <c r="F94" t="s">
        <v>196</v>
      </c>
      <c r="G94" t="s">
        <v>167</v>
      </c>
      <c r="J94" s="98"/>
      <c r="K94" s="98"/>
      <c r="L94" s="98"/>
      <c r="M94" s="98"/>
      <c r="N94" s="98"/>
      <c r="O94" s="98"/>
      <c r="P94" s="98"/>
      <c r="Q94" s="98"/>
      <c r="R94" s="95"/>
      <c r="S94" s="95"/>
      <c r="T94" s="95"/>
      <c r="U94" s="95"/>
      <c r="V94" s="95"/>
      <c r="W94" s="95"/>
      <c r="X94" s="95"/>
      <c r="Y94" s="95"/>
    </row>
    <row r="95" spans="3:43" x14ac:dyDescent="0.25">
      <c r="E95" s="71"/>
      <c r="F95" t="s">
        <v>197</v>
      </c>
      <c r="G95" t="s">
        <v>167</v>
      </c>
      <c r="J95" s="98"/>
      <c r="K95" s="98"/>
      <c r="L95" s="98"/>
      <c r="M95" s="98"/>
      <c r="N95" s="10">
        <v>0.2</v>
      </c>
      <c r="O95" s="10">
        <v>1</v>
      </c>
      <c r="P95" s="10">
        <v>1</v>
      </c>
      <c r="Q95" s="98"/>
      <c r="R95" s="95"/>
      <c r="S95" s="95"/>
      <c r="T95" s="95"/>
      <c r="U95" s="95"/>
      <c r="V95" s="95"/>
      <c r="W95" s="95"/>
      <c r="X95" s="95"/>
      <c r="Y95" s="95"/>
    </row>
    <row r="96" spans="3:43" x14ac:dyDescent="0.25">
      <c r="E96" s="71"/>
      <c r="F96" t="s">
        <v>198</v>
      </c>
      <c r="G96" t="s">
        <v>167</v>
      </c>
      <c r="J96" s="98"/>
      <c r="K96" s="98"/>
      <c r="L96" s="98"/>
      <c r="M96" s="98"/>
      <c r="N96" s="10">
        <v>1</v>
      </c>
      <c r="O96" s="10">
        <v>1</v>
      </c>
      <c r="P96" s="98"/>
      <c r="Q96" s="98"/>
      <c r="R96" s="95"/>
      <c r="S96" s="95"/>
      <c r="T96" s="95"/>
      <c r="U96" s="95"/>
      <c r="V96" s="95"/>
      <c r="W96" s="95"/>
      <c r="X96" s="95"/>
      <c r="Y96" s="95"/>
    </row>
    <row r="97" spans="3:43" x14ac:dyDescent="0.25">
      <c r="E97" s="71"/>
      <c r="F97" s="91" t="s">
        <v>199</v>
      </c>
      <c r="G97" s="91" t="s">
        <v>167</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204</v>
      </c>
      <c r="E101" s="60"/>
    </row>
    <row r="102" spans="3:43" x14ac:dyDescent="0.25">
      <c r="D102" s="71" t="s">
        <v>205</v>
      </c>
      <c r="E102" s="71"/>
    </row>
    <row r="103" spans="3:43" x14ac:dyDescent="0.25">
      <c r="D103" s="71" t="s">
        <v>206</v>
      </c>
      <c r="E103" s="71"/>
    </row>
    <row r="104" spans="3:43" x14ac:dyDescent="0.25">
      <c r="D104" s="71"/>
      <c r="E104" s="60" t="s">
        <v>207</v>
      </c>
    </row>
    <row r="105" spans="3:43" x14ac:dyDescent="0.25">
      <c r="D105" s="71"/>
      <c r="F105" s="89" t="s">
        <v>208</v>
      </c>
      <c r="G105" t="s">
        <v>209</v>
      </c>
      <c r="I105" t="s">
        <v>154</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210</v>
      </c>
    </row>
    <row r="106" spans="3:43" x14ac:dyDescent="0.25">
      <c r="D106" s="71"/>
      <c r="E106" s="89"/>
      <c r="F106" s="89" t="s">
        <v>211</v>
      </c>
      <c r="G106" t="s">
        <v>167</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212</v>
      </c>
      <c r="F108" s="89"/>
      <c r="J108" s="47"/>
      <c r="K108" s="47"/>
      <c r="L108" s="47"/>
      <c r="M108" s="47"/>
      <c r="N108" s="47"/>
      <c r="O108" s="47"/>
      <c r="P108" s="47"/>
      <c r="Q108" s="47"/>
      <c r="R108" s="47"/>
      <c r="S108" s="47"/>
      <c r="T108" s="47"/>
      <c r="U108" s="47"/>
      <c r="V108" s="47"/>
      <c r="W108" s="47"/>
      <c r="X108" s="47"/>
      <c r="Y108" s="47"/>
    </row>
    <row r="109" spans="3:43" x14ac:dyDescent="0.25">
      <c r="D109" s="71"/>
      <c r="F109" s="89" t="s">
        <v>208</v>
      </c>
      <c r="G109" t="s">
        <v>209</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211</v>
      </c>
      <c r="G110" t="s">
        <v>167</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213</v>
      </c>
      <c r="F112" s="89"/>
      <c r="J112" s="47"/>
      <c r="K112" s="47"/>
      <c r="L112" s="47"/>
      <c r="M112" s="47"/>
      <c r="N112" s="47"/>
      <c r="O112" s="47"/>
      <c r="P112" s="47"/>
      <c r="Q112" s="47"/>
      <c r="R112" s="47"/>
      <c r="S112" s="47"/>
      <c r="T112" s="47"/>
      <c r="U112" s="47"/>
      <c r="V112" s="47"/>
      <c r="W112" s="47"/>
      <c r="X112" s="47"/>
      <c r="Y112" s="47"/>
    </row>
    <row r="113" spans="4:25" x14ac:dyDescent="0.25">
      <c r="D113" s="71"/>
      <c r="F113" s="89" t="s">
        <v>208</v>
      </c>
      <c r="G113" t="s">
        <v>209</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211</v>
      </c>
      <c r="G114" t="s">
        <v>167</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214</v>
      </c>
      <c r="F116" s="89"/>
      <c r="J116" s="47"/>
      <c r="K116" s="47"/>
      <c r="L116" s="47"/>
      <c r="M116" s="47"/>
      <c r="N116" s="47"/>
      <c r="O116" s="47"/>
      <c r="P116" s="47"/>
      <c r="Q116" s="47"/>
      <c r="R116" s="47"/>
      <c r="S116" s="47"/>
      <c r="T116" s="47"/>
      <c r="U116" s="47"/>
      <c r="V116" s="47"/>
      <c r="W116" s="47"/>
      <c r="X116" s="47"/>
      <c r="Y116" s="47"/>
    </row>
    <row r="117" spans="4:25" x14ac:dyDescent="0.25">
      <c r="D117" s="71"/>
      <c r="F117" s="89" t="s">
        <v>208</v>
      </c>
      <c r="G117" t="s">
        <v>209</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211</v>
      </c>
      <c r="G118" t="s">
        <v>167</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215</v>
      </c>
      <c r="F120" s="89"/>
      <c r="J120" s="47"/>
      <c r="K120" s="47"/>
      <c r="L120" s="47"/>
      <c r="M120" s="47"/>
      <c r="N120" s="47"/>
      <c r="O120" s="47"/>
      <c r="P120" s="47"/>
      <c r="Q120" s="47"/>
      <c r="R120" s="47"/>
      <c r="S120" s="47"/>
      <c r="T120" s="47"/>
      <c r="U120" s="47"/>
      <c r="V120" s="47"/>
      <c r="W120" s="47"/>
      <c r="X120" s="47"/>
      <c r="Y120" s="47"/>
    </row>
    <row r="121" spans="4:25" x14ac:dyDescent="0.25">
      <c r="D121" s="71"/>
      <c r="F121" s="89" t="s">
        <v>208</v>
      </c>
      <c r="G121" t="s">
        <v>209</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211</v>
      </c>
      <c r="G122" t="s">
        <v>167</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216</v>
      </c>
      <c r="J124" s="47"/>
      <c r="K124" s="47"/>
      <c r="L124" s="47"/>
      <c r="M124" s="47"/>
      <c r="N124" s="47"/>
      <c r="O124" s="47"/>
      <c r="P124" s="47"/>
      <c r="Q124" s="47"/>
      <c r="R124" s="47"/>
      <c r="S124" s="47"/>
      <c r="T124" s="47"/>
      <c r="U124" s="47"/>
      <c r="V124" s="47"/>
      <c r="W124" s="47"/>
      <c r="X124" s="47"/>
      <c r="Y124" s="47"/>
    </row>
    <row r="125" spans="4:25" x14ac:dyDescent="0.25">
      <c r="E125" s="71" t="s">
        <v>217</v>
      </c>
      <c r="J125" s="47"/>
      <c r="K125" s="47"/>
      <c r="L125" s="47"/>
      <c r="M125" s="47"/>
      <c r="N125" s="47"/>
      <c r="O125" s="47"/>
      <c r="P125" s="47"/>
      <c r="Q125" s="47"/>
      <c r="R125" s="47"/>
      <c r="S125" s="47"/>
      <c r="T125" s="47"/>
      <c r="U125" s="47"/>
      <c r="V125" s="47"/>
      <c r="W125" s="47"/>
      <c r="X125" s="47"/>
      <c r="Y125" s="47"/>
    </row>
    <row r="126" spans="4:25" x14ac:dyDescent="0.25">
      <c r="E126" s="71" t="s">
        <v>218</v>
      </c>
      <c r="J126" s="47"/>
      <c r="K126" s="47"/>
      <c r="L126" s="47"/>
      <c r="M126" s="47"/>
      <c r="N126" s="47"/>
      <c r="O126" s="47"/>
      <c r="P126" s="47"/>
      <c r="Q126" s="47"/>
      <c r="R126" s="47"/>
      <c r="S126" s="47"/>
      <c r="T126" s="47"/>
      <c r="U126" s="47"/>
      <c r="V126" s="47"/>
      <c r="W126" s="47"/>
      <c r="X126" s="47"/>
      <c r="Y126" s="47"/>
    </row>
    <row r="127" spans="4:25" x14ac:dyDescent="0.25">
      <c r="E127" s="71"/>
      <c r="F127" t="s">
        <v>216</v>
      </c>
      <c r="G127" t="s">
        <v>209</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219</v>
      </c>
      <c r="J129" s="47"/>
      <c r="K129" s="47"/>
      <c r="L129" s="47"/>
      <c r="M129" s="47"/>
      <c r="N129" s="47"/>
      <c r="O129" s="47"/>
      <c r="P129" s="47"/>
      <c r="Q129" s="47"/>
      <c r="R129" s="47"/>
      <c r="S129" s="47"/>
      <c r="T129" s="47"/>
      <c r="U129" s="47"/>
      <c r="V129" s="47"/>
      <c r="W129" s="47"/>
      <c r="X129" s="47"/>
      <c r="Y129" s="47"/>
    </row>
    <row r="130" spans="3:43" x14ac:dyDescent="0.25">
      <c r="E130" s="71" t="s">
        <v>220</v>
      </c>
      <c r="J130" s="47"/>
      <c r="K130" s="47"/>
      <c r="L130" s="47"/>
      <c r="M130" s="47"/>
      <c r="N130" s="47"/>
      <c r="O130" s="47"/>
      <c r="P130" s="47"/>
      <c r="Q130" s="47"/>
      <c r="R130" s="47"/>
      <c r="S130" s="47"/>
      <c r="T130" s="47"/>
      <c r="U130" s="47"/>
      <c r="V130" s="47"/>
      <c r="W130" s="47"/>
      <c r="X130" s="47"/>
      <c r="Y130" s="47"/>
    </row>
    <row r="131" spans="3:43" x14ac:dyDescent="0.25">
      <c r="E131" s="71"/>
      <c r="F131" t="s">
        <v>221</v>
      </c>
      <c r="G131" t="s">
        <v>209</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222</v>
      </c>
      <c r="I133" t="s">
        <v>154</v>
      </c>
      <c r="J133" s="47"/>
      <c r="K133" s="47"/>
      <c r="L133" s="47"/>
      <c r="M133" s="47"/>
      <c r="N133" s="47"/>
      <c r="O133" s="47"/>
      <c r="P133" s="47"/>
      <c r="Q133" s="47"/>
      <c r="R133" s="47"/>
      <c r="S133" s="47"/>
      <c r="T133" s="47"/>
      <c r="U133" s="47"/>
      <c r="V133" s="47"/>
      <c r="W133" s="47"/>
      <c r="X133" s="47"/>
      <c r="Y133" s="47"/>
      <c r="AQ133" t="s">
        <v>223</v>
      </c>
    </row>
    <row r="134" spans="3:43" x14ac:dyDescent="0.25">
      <c r="E134" s="71" t="s">
        <v>224</v>
      </c>
      <c r="J134" s="47"/>
      <c r="K134" s="47"/>
      <c r="L134" s="47"/>
      <c r="M134" s="47"/>
      <c r="N134" s="47"/>
      <c r="O134" s="47"/>
      <c r="P134" s="47"/>
      <c r="Q134" s="47"/>
      <c r="R134" s="47"/>
      <c r="S134" s="47"/>
      <c r="T134" s="47"/>
      <c r="U134" s="47"/>
      <c r="V134" s="47"/>
      <c r="W134" s="47"/>
      <c r="X134" s="47"/>
      <c r="Y134" s="47"/>
    </row>
    <row r="135" spans="3:43" x14ac:dyDescent="0.25">
      <c r="E135" s="71" t="s">
        <v>225</v>
      </c>
      <c r="J135" s="47"/>
      <c r="K135" s="47"/>
      <c r="L135" s="47"/>
      <c r="M135" s="47"/>
      <c r="N135" s="47"/>
      <c r="O135" s="47"/>
      <c r="P135" s="47"/>
      <c r="Q135" s="47"/>
      <c r="R135" s="47"/>
      <c r="S135" s="47"/>
      <c r="T135" s="47"/>
      <c r="U135" s="47"/>
      <c r="V135" s="47"/>
      <c r="W135" s="47"/>
      <c r="X135" s="47"/>
      <c r="Y135" s="47"/>
    </row>
    <row r="136" spans="3:43" x14ac:dyDescent="0.25">
      <c r="E136" s="71"/>
      <c r="F136" t="s">
        <v>160</v>
      </c>
      <c r="G136" t="s">
        <v>176</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161</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226</v>
      </c>
      <c r="G138" t="s">
        <v>176</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227</v>
      </c>
      <c r="G139" t="s">
        <v>176</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228</v>
      </c>
      <c r="F143" s="60"/>
    </row>
    <row r="144" spans="3:43" x14ac:dyDescent="0.25">
      <c r="E144" s="71" t="s">
        <v>229</v>
      </c>
      <c r="F144" s="71"/>
      <c r="I144" t="s">
        <v>154</v>
      </c>
      <c r="AQ144" t="s">
        <v>895</v>
      </c>
    </row>
    <row r="145" spans="3:44" x14ac:dyDescent="0.25">
      <c r="E145" s="71"/>
      <c r="F145" s="89" t="s">
        <v>228</v>
      </c>
      <c r="G145" t="s">
        <v>149</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841</v>
      </c>
      <c r="F147" s="60"/>
      <c r="I147" t="s">
        <v>154</v>
      </c>
      <c r="AQ147" t="s">
        <v>854</v>
      </c>
    </row>
    <row r="148" spans="3:44" x14ac:dyDescent="0.25">
      <c r="E148" s="71" t="s">
        <v>842</v>
      </c>
      <c r="F148" s="71"/>
    </row>
    <row r="149" spans="3:44" x14ac:dyDescent="0.25">
      <c r="E149" s="71"/>
      <c r="F149" s="89" t="s">
        <v>843</v>
      </c>
      <c r="G149" t="s">
        <v>149</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230</v>
      </c>
      <c r="G153" t="s">
        <v>149</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867</v>
      </c>
      <c r="I157" t="s">
        <v>154</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1152</v>
      </c>
      <c r="AR157" s="101"/>
    </row>
    <row r="158" spans="3:44" x14ac:dyDescent="0.25">
      <c r="C158" s="100"/>
      <c r="D158" s="2"/>
      <c r="F158" s="90" t="s">
        <v>868</v>
      </c>
      <c r="G158" s="90" t="s">
        <v>176</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869</v>
      </c>
      <c r="G159" t="s">
        <v>176</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1142</v>
      </c>
      <c r="G160" s="91" t="s">
        <v>176</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998</v>
      </c>
      <c r="J164" s="102" t="s">
        <v>1161</v>
      </c>
      <c r="K164" s="102" t="s">
        <v>826</v>
      </c>
      <c r="L164" s="102" t="s">
        <v>1162</v>
      </c>
      <c r="M164" s="102" t="s">
        <v>1163</v>
      </c>
      <c r="N164" s="102" t="s">
        <v>1164</v>
      </c>
      <c r="O164" s="102" t="s">
        <v>1165</v>
      </c>
      <c r="P164" s="102" t="s">
        <v>1166</v>
      </c>
      <c r="Q164" s="102" t="s">
        <v>827</v>
      </c>
      <c r="R164" s="102" t="s">
        <v>905</v>
      </c>
      <c r="S164" s="102" t="s">
        <v>906</v>
      </c>
      <c r="T164" s="102" t="s">
        <v>907</v>
      </c>
      <c r="U164" s="102" t="s">
        <v>908</v>
      </c>
      <c r="V164" s="102" t="s">
        <v>909</v>
      </c>
      <c r="W164" s="102" t="s">
        <v>910</v>
      </c>
      <c r="X164" s="102" t="s">
        <v>911</v>
      </c>
      <c r="Y164" s="102" t="s">
        <v>912</v>
      </c>
      <c r="Z164" s="102" t="s">
        <v>913</v>
      </c>
      <c r="AA164" s="102" t="s">
        <v>914</v>
      </c>
      <c r="AB164" s="102" t="s">
        <v>915</v>
      </c>
      <c r="AC164" s="102" t="s">
        <v>916</v>
      </c>
      <c r="AD164" s="102" t="s">
        <v>917</v>
      </c>
      <c r="AE164" s="102" t="s">
        <v>918</v>
      </c>
      <c r="AF164" s="102" t="s">
        <v>919</v>
      </c>
      <c r="AG164" s="102" t="s">
        <v>836</v>
      </c>
      <c r="AH164" s="102" t="s">
        <v>828</v>
      </c>
      <c r="AI164" s="102" t="s">
        <v>829</v>
      </c>
      <c r="AJ164" s="102" t="s">
        <v>830</v>
      </c>
      <c r="AK164" s="102" t="s">
        <v>839</v>
      </c>
      <c r="AL164" s="102" t="s">
        <v>831</v>
      </c>
      <c r="AM164" s="102" t="s">
        <v>838</v>
      </c>
      <c r="AN164" s="102" t="s">
        <v>832</v>
      </c>
      <c r="AO164" s="102" t="s">
        <v>837</v>
      </c>
      <c r="AR164" s="101"/>
    </row>
    <row r="165" spans="3:44" x14ac:dyDescent="0.25">
      <c r="C165" s="100"/>
      <c r="D165" s="2"/>
      <c r="F165" s="90" t="s">
        <v>997</v>
      </c>
      <c r="G165" s="90" t="s">
        <v>904</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924</v>
      </c>
      <c r="G166" t="s">
        <v>904</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995</v>
      </c>
      <c r="G167" t="s">
        <v>904</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931</v>
      </c>
      <c r="G168" t="s">
        <v>149</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930</v>
      </c>
      <c r="G169" t="s">
        <v>149</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996</v>
      </c>
      <c r="G170" s="91" t="s">
        <v>149</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999</v>
      </c>
      <c r="G172" t="s">
        <v>149</v>
      </c>
      <c r="H172" s="430">
        <v>2</v>
      </c>
      <c r="AR172" s="101"/>
    </row>
    <row r="173" spans="3:44" x14ac:dyDescent="0.25">
      <c r="C173" s="100"/>
      <c r="D173" s="2"/>
      <c r="AR173" s="101"/>
    </row>
    <row r="174" spans="3:44" x14ac:dyDescent="0.25">
      <c r="C174" s="100"/>
      <c r="D174" s="2"/>
      <c r="E174" s="60" t="s">
        <v>992</v>
      </c>
      <c r="AR174" s="101"/>
    </row>
    <row r="175" spans="3:44" x14ac:dyDescent="0.25">
      <c r="C175" s="100"/>
      <c r="D175" s="2"/>
      <c r="E175" s="60"/>
      <c r="F175" s="71" t="s">
        <v>993</v>
      </c>
      <c r="AR175" s="101"/>
    </row>
    <row r="176" spans="3:44" ht="60" x14ac:dyDescent="0.25">
      <c r="C176" s="100"/>
      <c r="D176" s="2"/>
      <c r="E176" s="60"/>
      <c r="F176" s="34" t="s">
        <v>994</v>
      </c>
      <c r="J176" s="102" t="s">
        <v>1161</v>
      </c>
      <c r="K176" s="102" t="s">
        <v>826</v>
      </c>
      <c r="L176" s="102" t="s">
        <v>1162</v>
      </c>
      <c r="M176" s="102" t="s">
        <v>1163</v>
      </c>
      <c r="N176" s="102" t="s">
        <v>1164</v>
      </c>
      <c r="O176" s="102" t="s">
        <v>1165</v>
      </c>
      <c r="P176" s="102" t="s">
        <v>1166</v>
      </c>
      <c r="Q176" s="102" t="s">
        <v>827</v>
      </c>
      <c r="R176" s="102" t="s">
        <v>905</v>
      </c>
      <c r="S176" s="102" t="s">
        <v>906</v>
      </c>
      <c r="T176" s="102" t="s">
        <v>907</v>
      </c>
      <c r="U176" s="102" t="s">
        <v>908</v>
      </c>
      <c r="V176" s="102" t="s">
        <v>909</v>
      </c>
      <c r="W176" s="102" t="s">
        <v>910</v>
      </c>
      <c r="X176" s="102" t="s">
        <v>911</v>
      </c>
      <c r="Y176" s="102" t="s">
        <v>912</v>
      </c>
      <c r="Z176" s="102" t="s">
        <v>913</v>
      </c>
      <c r="AA176" s="102" t="s">
        <v>914</v>
      </c>
      <c r="AB176" s="102" t="s">
        <v>915</v>
      </c>
      <c r="AC176" s="102" t="s">
        <v>916</v>
      </c>
      <c r="AD176" s="102" t="s">
        <v>917</v>
      </c>
      <c r="AE176" s="102" t="s">
        <v>918</v>
      </c>
      <c r="AF176" s="102" t="s">
        <v>919</v>
      </c>
      <c r="AG176" s="102" t="s">
        <v>836</v>
      </c>
      <c r="AH176" s="102" t="s">
        <v>828</v>
      </c>
      <c r="AI176" s="102" t="s">
        <v>829</v>
      </c>
      <c r="AJ176" s="102" t="s">
        <v>830</v>
      </c>
      <c r="AK176" s="102" t="s">
        <v>839</v>
      </c>
      <c r="AL176" s="102" t="s">
        <v>831</v>
      </c>
      <c r="AM176" s="102" t="s">
        <v>838</v>
      </c>
      <c r="AN176" s="102" t="s">
        <v>832</v>
      </c>
      <c r="AO176" s="102" t="s">
        <v>837</v>
      </c>
      <c r="AR176" s="101"/>
    </row>
    <row r="177" spans="2:44" x14ac:dyDescent="0.25">
      <c r="C177" s="100"/>
      <c r="D177" s="2"/>
      <c r="F177" s="90" t="s">
        <v>984</v>
      </c>
      <c r="G177" s="90" t="s">
        <v>149</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985</v>
      </c>
      <c r="G178" t="s">
        <v>149</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986</v>
      </c>
      <c r="G179" t="s">
        <v>149</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987</v>
      </c>
      <c r="G180" t="s">
        <v>149</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988</v>
      </c>
      <c r="G181" t="s">
        <v>149</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989</v>
      </c>
      <c r="G182" t="s">
        <v>149</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990</v>
      </c>
      <c r="G183" t="s">
        <v>149</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991</v>
      </c>
      <c r="G184" s="91" t="s">
        <v>149</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231</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232</v>
      </c>
      <c r="G188" s="6" t="s">
        <v>55</v>
      </c>
      <c r="H188" s="104">
        <f t="array" ref="H188">SUM(IF(ISERROR(H15:Y146), 1))</f>
        <v>0</v>
      </c>
      <c r="I188" s="3"/>
    </row>
    <row r="189" spans="2:44" x14ac:dyDescent="0.25">
      <c r="I189" s="3"/>
    </row>
    <row r="190" spans="2:44" x14ac:dyDescent="0.25">
      <c r="E190" s="60" t="s">
        <v>233</v>
      </c>
      <c r="I190" s="3"/>
    </row>
    <row r="191" spans="2:44" x14ac:dyDescent="0.25">
      <c r="F191" s="90" t="s">
        <v>234</v>
      </c>
      <c r="G191" s="105" t="s">
        <v>55</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235</v>
      </c>
      <c r="G192" s="6" t="s">
        <v>55</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236</v>
      </c>
      <c r="G193" s="6" t="s">
        <v>55</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237</v>
      </c>
      <c r="G194" s="6" t="s">
        <v>55</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238</v>
      </c>
      <c r="G195" s="62" t="s">
        <v>55</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239</v>
      </c>
      <c r="G197" s="6" t="s">
        <v>55</v>
      </c>
      <c r="H197" s="108">
        <f>H188 + SUM(H191:H195)</f>
        <v>0</v>
      </c>
      <c r="I197" s="3"/>
    </row>
    <row r="198" spans="2:43" x14ac:dyDescent="0.25">
      <c r="I198" s="3"/>
    </row>
    <row r="199" spans="2:43" x14ac:dyDescent="0.25">
      <c r="B199" s="70" t="s">
        <v>106</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24.28515625" bestFit="1" customWidth="1"/>
    <col min="11"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Distribution - One</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142</v>
      </c>
      <c r="C5" s="85"/>
      <c r="D5" s="85"/>
      <c r="E5" s="85"/>
      <c r="F5" s="85"/>
      <c r="G5" s="109" t="s">
        <v>143</v>
      </c>
      <c r="H5" s="110" t="s">
        <v>144</v>
      </c>
      <c r="I5" s="47"/>
      <c r="J5" s="110" t="s">
        <v>1159</v>
      </c>
      <c r="K5" s="110" t="s">
        <v>826</v>
      </c>
      <c r="L5" s="110" t="s">
        <v>1160</v>
      </c>
      <c r="M5" s="110" t="s">
        <v>827</v>
      </c>
      <c r="N5" s="110" t="s">
        <v>833</v>
      </c>
      <c r="O5" s="110" t="s">
        <v>834</v>
      </c>
      <c r="P5" s="110" t="s">
        <v>835</v>
      </c>
      <c r="Q5" s="110" t="s">
        <v>836</v>
      </c>
      <c r="R5" s="110" t="s">
        <v>828</v>
      </c>
      <c r="S5" s="110" t="s">
        <v>829</v>
      </c>
      <c r="T5" s="110" t="s">
        <v>830</v>
      </c>
      <c r="U5" s="110" t="s">
        <v>839</v>
      </c>
      <c r="V5" s="110" t="s">
        <v>831</v>
      </c>
      <c r="W5" s="110" t="s">
        <v>838</v>
      </c>
      <c r="X5" s="110" t="s">
        <v>832</v>
      </c>
      <c r="Y5" s="110" t="s">
        <v>837</v>
      </c>
      <c r="AQ5" s="86" t="s">
        <v>145</v>
      </c>
    </row>
    <row r="7" spans="1:43" x14ac:dyDescent="0.25">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240</v>
      </c>
    </row>
    <row r="11" spans="1:43" x14ac:dyDescent="0.25">
      <c r="B11" s="70" t="s">
        <v>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241</v>
      </c>
      <c r="G15" s="46" t="s">
        <v>167</v>
      </c>
      <c r="I15" t="s">
        <v>154</v>
      </c>
      <c r="J15" s="434">
        <v>0.45400000000000001</v>
      </c>
      <c r="K15" s="444">
        <v>8.6333333333333331E-2</v>
      </c>
      <c r="L15" s="444">
        <v>0.41799999999999998</v>
      </c>
      <c r="M15" s="444">
        <v>0.28733333333333338</v>
      </c>
      <c r="N15" s="444">
        <v>0.54166666666666663</v>
      </c>
      <c r="O15" s="444">
        <v>0.67766666666666664</v>
      </c>
      <c r="P15" s="444">
        <v>0.73866666666666658</v>
      </c>
      <c r="Q15" s="444">
        <v>0.48833333333333329</v>
      </c>
      <c r="R15" s="98"/>
      <c r="S15" s="98"/>
      <c r="T15" s="98"/>
      <c r="U15" s="98"/>
      <c r="V15" s="98"/>
      <c r="W15" s="98"/>
      <c r="X15" s="98"/>
      <c r="Y15" s="98"/>
      <c r="AQ15" t="s">
        <v>242</v>
      </c>
    </row>
    <row r="16" spans="1:43" x14ac:dyDescent="0.25">
      <c r="E16" s="89" t="s">
        <v>243</v>
      </c>
      <c r="G16" s="46" t="s">
        <v>167</v>
      </c>
      <c r="I16" t="s">
        <v>154</v>
      </c>
      <c r="J16" s="444">
        <v>0.88099999999999989</v>
      </c>
      <c r="K16" s="98"/>
      <c r="L16" s="444">
        <v>0.69600000000000006</v>
      </c>
      <c r="M16" s="98"/>
      <c r="N16" s="444">
        <v>0.81866666666666665</v>
      </c>
      <c r="O16" s="444">
        <v>0.84266666666666667</v>
      </c>
      <c r="P16" s="444">
        <v>0.86866666666666659</v>
      </c>
      <c r="Q16" s="444">
        <v>0.90766666666666662</v>
      </c>
      <c r="R16" s="98"/>
      <c r="S16" s="98"/>
      <c r="T16" s="98"/>
      <c r="U16" s="98"/>
      <c r="V16" s="98"/>
      <c r="W16" s="98"/>
      <c r="X16" s="98"/>
      <c r="Y16" s="98"/>
      <c r="AQ16" t="s">
        <v>244</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947</v>
      </c>
      <c r="G20" s="46"/>
      <c r="I20" t="s">
        <v>154</v>
      </c>
      <c r="AQ20" t="s">
        <v>246</v>
      </c>
    </row>
    <row r="21" spans="3:43" x14ac:dyDescent="0.25">
      <c r="G21" s="46"/>
    </row>
    <row r="22" spans="3:43" x14ac:dyDescent="0.25">
      <c r="E22" s="60" t="s">
        <v>901</v>
      </c>
      <c r="G22" s="46"/>
    </row>
    <row r="23" spans="3:43" x14ac:dyDescent="0.25">
      <c r="E23" s="60"/>
      <c r="F23" s="111" t="s">
        <v>247</v>
      </c>
      <c r="G23" s="111" t="s">
        <v>207</v>
      </c>
      <c r="H23" s="90"/>
      <c r="I23" s="90"/>
      <c r="J23" s="112"/>
      <c r="K23" s="435">
        <v>583.49065558298639</v>
      </c>
      <c r="L23" s="435">
        <v>17.287783850161901</v>
      </c>
      <c r="M23" s="435">
        <v>483.15300000000002</v>
      </c>
      <c r="N23" s="435">
        <v>11.680688004034213</v>
      </c>
      <c r="O23" s="435">
        <v>0.14310184384727981</v>
      </c>
      <c r="P23" s="435">
        <v>501.18634038179846</v>
      </c>
      <c r="Q23" s="112"/>
      <c r="R23" s="435">
        <v>8914.4630574141829</v>
      </c>
      <c r="S23" s="435">
        <v>52.1242510546167</v>
      </c>
      <c r="T23" s="435">
        <v>5844.5299999999988</v>
      </c>
      <c r="U23" s="435">
        <v>0</v>
      </c>
      <c r="V23" s="435">
        <v>64.59099999999998</v>
      </c>
      <c r="W23" s="435">
        <v>0</v>
      </c>
      <c r="X23" s="435">
        <v>115415.10300000002</v>
      </c>
      <c r="Y23" s="435">
        <v>0</v>
      </c>
    </row>
    <row r="24" spans="3:43" x14ac:dyDescent="0.25">
      <c r="E24" s="60"/>
      <c r="F24" s="113" t="s">
        <v>248</v>
      </c>
      <c r="G24" s="113" t="s">
        <v>207</v>
      </c>
      <c r="J24" s="114"/>
      <c r="K24" s="436">
        <v>16234.514009424238</v>
      </c>
      <c r="L24" s="436">
        <v>89.69185070579644</v>
      </c>
      <c r="M24" s="436">
        <v>7645.8209999999999</v>
      </c>
      <c r="N24" s="436">
        <v>47.630057456640778</v>
      </c>
      <c r="O24" s="436">
        <v>0.55054459369022912</v>
      </c>
      <c r="P24" s="436">
        <v>2309.276574110876</v>
      </c>
      <c r="Q24" s="114"/>
      <c r="R24" s="436">
        <v>49280.917648912247</v>
      </c>
      <c r="S24" s="436">
        <v>227.37680998266927</v>
      </c>
      <c r="T24" s="436">
        <v>27694.188000000006</v>
      </c>
      <c r="U24" s="436">
        <v>0</v>
      </c>
      <c r="V24" s="436">
        <v>326.78199999999998</v>
      </c>
      <c r="W24" s="436">
        <v>0</v>
      </c>
      <c r="X24" s="436">
        <v>421753.54499999998</v>
      </c>
      <c r="Y24" s="436">
        <v>0</v>
      </c>
    </row>
    <row r="25" spans="3:43" x14ac:dyDescent="0.25">
      <c r="E25" s="60"/>
      <c r="F25" s="113" t="s">
        <v>249</v>
      </c>
      <c r="G25" s="113" t="s">
        <v>207</v>
      </c>
      <c r="J25" s="114"/>
      <c r="K25" s="436">
        <v>163317.30533499279</v>
      </c>
      <c r="L25" s="436">
        <v>74.176229689763986</v>
      </c>
      <c r="M25" s="436">
        <v>33432.284</v>
      </c>
      <c r="N25" s="436">
        <v>60.893809608235522</v>
      </c>
      <c r="O25" s="436">
        <v>0.77911003872407869</v>
      </c>
      <c r="P25" s="436">
        <v>2960.6388173812438</v>
      </c>
      <c r="Q25" s="114"/>
      <c r="R25" s="436">
        <v>22702.507450935238</v>
      </c>
      <c r="S25" s="436">
        <v>201.46913946310823</v>
      </c>
      <c r="T25" s="436">
        <v>29330.011000000002</v>
      </c>
      <c r="U25" s="436">
        <v>0</v>
      </c>
      <c r="V25" s="436">
        <v>309.74</v>
      </c>
      <c r="W25" s="436">
        <v>0</v>
      </c>
      <c r="X25" s="436">
        <v>491598.924</v>
      </c>
      <c r="Y25" s="436">
        <v>0</v>
      </c>
    </row>
    <row r="26" spans="3:43" x14ac:dyDescent="0.25">
      <c r="E26" s="60"/>
      <c r="F26" s="113" t="s">
        <v>212</v>
      </c>
      <c r="G26" s="113" t="s">
        <v>212</v>
      </c>
      <c r="J26" s="114"/>
      <c r="K26" s="436">
        <v>90201</v>
      </c>
      <c r="L26" s="436">
        <v>59</v>
      </c>
      <c r="M26" s="436">
        <v>5142</v>
      </c>
      <c r="N26" s="436">
        <v>24</v>
      </c>
      <c r="O26" s="436">
        <v>1</v>
      </c>
      <c r="P26" s="436">
        <v>148</v>
      </c>
      <c r="Q26" s="114"/>
      <c r="R26" s="436">
        <v>14150.894574354708</v>
      </c>
      <c r="S26" s="436">
        <v>7</v>
      </c>
      <c r="T26" s="436">
        <v>549</v>
      </c>
      <c r="U26" s="436">
        <v>0</v>
      </c>
      <c r="V26" s="436">
        <v>9</v>
      </c>
      <c r="W26" s="436">
        <v>0</v>
      </c>
      <c r="X26" s="436">
        <v>263</v>
      </c>
      <c r="Y26" s="436">
        <v>0</v>
      </c>
    </row>
    <row r="27" spans="3:43" x14ac:dyDescent="0.25">
      <c r="E27" s="60"/>
      <c r="F27" s="113" t="s">
        <v>250</v>
      </c>
      <c r="G27" s="113" t="s">
        <v>251</v>
      </c>
      <c r="J27" s="114"/>
      <c r="K27" s="114"/>
      <c r="L27" s="114"/>
      <c r="M27" s="114"/>
      <c r="N27" s="436">
        <v>992</v>
      </c>
      <c r="O27" s="436">
        <v>8</v>
      </c>
      <c r="P27" s="436">
        <v>14725</v>
      </c>
      <c r="Q27" s="114"/>
      <c r="R27" s="114"/>
      <c r="S27" s="114"/>
      <c r="T27" s="114"/>
      <c r="U27" s="114"/>
      <c r="V27" s="114"/>
      <c r="W27" s="114"/>
      <c r="X27" s="114"/>
      <c r="Y27" s="114"/>
    </row>
    <row r="28" spans="3:43" x14ac:dyDescent="0.25">
      <c r="E28" s="60"/>
      <c r="F28" s="113" t="s">
        <v>252</v>
      </c>
      <c r="G28" s="113" t="s">
        <v>251</v>
      </c>
      <c r="J28" s="114"/>
      <c r="K28" s="114"/>
      <c r="L28" s="114"/>
      <c r="M28" s="114"/>
      <c r="N28" s="436">
        <v>23.583333333333332</v>
      </c>
      <c r="O28" s="436">
        <v>10.416666666666666</v>
      </c>
      <c r="P28" s="436">
        <v>1297.6666666666667</v>
      </c>
      <c r="Q28" s="114"/>
      <c r="R28" s="114"/>
      <c r="S28" s="114"/>
      <c r="T28" s="114"/>
      <c r="U28" s="114"/>
      <c r="V28" s="114"/>
      <c r="W28" s="114"/>
      <c r="X28" s="114"/>
      <c r="Y28" s="114"/>
    </row>
    <row r="29" spans="3:43" x14ac:dyDescent="0.25">
      <c r="E29" s="60"/>
      <c r="F29" s="115" t="s">
        <v>253</v>
      </c>
      <c r="G29" s="115" t="s">
        <v>254</v>
      </c>
      <c r="H29" s="91"/>
      <c r="I29" s="91"/>
      <c r="J29" s="116"/>
      <c r="K29" s="116"/>
      <c r="L29" s="116"/>
      <c r="M29" s="116"/>
      <c r="N29" s="437">
        <v>57.555</v>
      </c>
      <c r="O29" s="437">
        <v>2.9279999999999999</v>
      </c>
      <c r="P29" s="437">
        <v>1841.1489999999999</v>
      </c>
      <c r="Q29" s="116"/>
      <c r="R29" s="116"/>
      <c r="S29" s="116"/>
      <c r="T29" s="437">
        <v>6086.3360000000011</v>
      </c>
      <c r="U29" s="116"/>
      <c r="V29" s="437">
        <v>184.05</v>
      </c>
      <c r="W29" s="116"/>
      <c r="X29" s="437">
        <v>18732.55</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935</v>
      </c>
      <c r="G31" s="46"/>
    </row>
    <row r="32" spans="3:43" x14ac:dyDescent="0.25">
      <c r="E32" s="60"/>
      <c r="F32" s="111" t="s">
        <v>247</v>
      </c>
      <c r="G32" s="111" t="s">
        <v>207</v>
      </c>
      <c r="H32" s="90"/>
      <c r="I32" s="90"/>
      <c r="J32" s="435">
        <v>703559.81712934223</v>
      </c>
      <c r="K32" s="112"/>
      <c r="L32" s="435">
        <v>16503.980903325719</v>
      </c>
      <c r="M32" s="112"/>
      <c r="N32" s="435">
        <v>47456.547464738745</v>
      </c>
      <c r="O32" s="435">
        <v>122.4524465326782</v>
      </c>
      <c r="P32" s="435">
        <v>16413.604750339815</v>
      </c>
      <c r="Q32" s="435">
        <v>10411.538342882297</v>
      </c>
      <c r="R32" s="112"/>
      <c r="S32" s="112"/>
      <c r="T32" s="112"/>
      <c r="U32" s="112"/>
      <c r="V32" s="112"/>
      <c r="W32" s="112"/>
      <c r="X32" s="112"/>
      <c r="Y32" s="112"/>
    </row>
    <row r="33" spans="5:42" x14ac:dyDescent="0.25">
      <c r="E33" s="60"/>
      <c r="F33" s="113" t="s">
        <v>248</v>
      </c>
      <c r="G33" s="113" t="s">
        <v>207</v>
      </c>
      <c r="J33" s="436">
        <v>2447600.8517030654</v>
      </c>
      <c r="K33" s="114"/>
      <c r="L33" s="436">
        <v>85625.352796075284</v>
      </c>
      <c r="M33" s="121"/>
      <c r="N33" s="436">
        <v>227086.37220120273</v>
      </c>
      <c r="O33" s="436">
        <v>570.50233209290229</v>
      </c>
      <c r="P33" s="436">
        <v>78891.638738172347</v>
      </c>
      <c r="Q33" s="436">
        <v>60982.689512370809</v>
      </c>
      <c r="R33" s="114"/>
      <c r="S33" s="114"/>
      <c r="T33" s="114"/>
      <c r="U33" s="114"/>
      <c r="V33" s="114"/>
      <c r="W33" s="114"/>
      <c r="X33" s="114"/>
      <c r="Y33" s="114"/>
    </row>
    <row r="34" spans="5:42" x14ac:dyDescent="0.25">
      <c r="E34" s="60"/>
      <c r="F34" s="113" t="s">
        <v>249</v>
      </c>
      <c r="G34" s="113" t="s">
        <v>207</v>
      </c>
      <c r="J34" s="436">
        <v>2346502.0044514849</v>
      </c>
      <c r="K34" s="114"/>
      <c r="L34" s="436">
        <v>70813.187444445182</v>
      </c>
      <c r="M34" s="121"/>
      <c r="N34" s="436">
        <v>199145.42614226352</v>
      </c>
      <c r="O34" s="436">
        <v>603.57575198930022</v>
      </c>
      <c r="P34" s="436">
        <v>82180.443622255261</v>
      </c>
      <c r="Q34" s="436">
        <v>138883.6383279369</v>
      </c>
      <c r="R34" s="114"/>
      <c r="S34" s="114"/>
      <c r="T34" s="114"/>
      <c r="U34" s="114"/>
      <c r="V34" s="114"/>
      <c r="W34" s="114"/>
      <c r="X34" s="114"/>
      <c r="Y34" s="114"/>
    </row>
    <row r="35" spans="5:42" x14ac:dyDescent="0.25">
      <c r="E35" s="60"/>
      <c r="F35" s="113" t="s">
        <v>212</v>
      </c>
      <c r="G35" s="113" t="s">
        <v>212</v>
      </c>
      <c r="J35" s="436">
        <v>1860265</v>
      </c>
      <c r="K35" s="114"/>
      <c r="L35" s="436">
        <v>45050</v>
      </c>
      <c r="M35" s="121"/>
      <c r="N35" s="436">
        <v>4569</v>
      </c>
      <c r="O35" s="436">
        <v>9</v>
      </c>
      <c r="P35" s="436">
        <v>348</v>
      </c>
      <c r="Q35" s="436">
        <v>4855</v>
      </c>
      <c r="R35" s="114"/>
      <c r="S35" s="114"/>
      <c r="T35" s="114"/>
      <c r="U35" s="114"/>
      <c r="V35" s="114"/>
      <c r="W35" s="114"/>
      <c r="X35" s="114"/>
      <c r="Y35" s="114"/>
    </row>
    <row r="36" spans="5:42" x14ac:dyDescent="0.25">
      <c r="E36" s="60"/>
      <c r="F36" s="113" t="s">
        <v>250</v>
      </c>
      <c r="G36" s="113" t="s">
        <v>251</v>
      </c>
      <c r="J36" s="114"/>
      <c r="K36" s="114"/>
      <c r="L36" s="114"/>
      <c r="M36" s="121"/>
      <c r="N36" s="436">
        <v>255295</v>
      </c>
      <c r="O36" s="436">
        <v>456</v>
      </c>
      <c r="P36" s="436">
        <v>71484</v>
      </c>
      <c r="Q36" s="114"/>
      <c r="R36" s="114"/>
      <c r="S36" s="114"/>
      <c r="T36" s="114"/>
      <c r="U36" s="114"/>
      <c r="V36" s="114"/>
      <c r="W36" s="114"/>
      <c r="X36" s="114"/>
      <c r="Y36" s="114"/>
    </row>
    <row r="37" spans="5:42" x14ac:dyDescent="0.25">
      <c r="E37" s="60"/>
      <c r="F37" s="113" t="s">
        <v>252</v>
      </c>
      <c r="G37" s="113" t="s">
        <v>251</v>
      </c>
      <c r="J37" s="114"/>
      <c r="K37" s="114"/>
      <c r="L37" s="114"/>
      <c r="M37" s="121"/>
      <c r="N37" s="436">
        <v>12629.416666666668</v>
      </c>
      <c r="O37" s="436">
        <v>310.16666666666663</v>
      </c>
      <c r="P37" s="436">
        <v>4117.416666666667</v>
      </c>
      <c r="Q37" s="114"/>
      <c r="R37" s="114"/>
      <c r="S37" s="114"/>
      <c r="T37" s="114"/>
      <c r="U37" s="114"/>
      <c r="V37" s="114"/>
      <c r="W37" s="114"/>
      <c r="X37" s="114"/>
      <c r="Y37" s="114"/>
    </row>
    <row r="38" spans="5:42" x14ac:dyDescent="0.25">
      <c r="E38" s="60"/>
      <c r="F38" s="115" t="s">
        <v>253</v>
      </c>
      <c r="G38" s="115" t="s">
        <v>254</v>
      </c>
      <c r="H38" s="91"/>
      <c r="I38" s="91"/>
      <c r="J38" s="116"/>
      <c r="K38" s="116"/>
      <c r="L38" s="116"/>
      <c r="M38" s="116"/>
      <c r="N38" s="437">
        <v>46848.589</v>
      </c>
      <c r="O38" s="437">
        <v>657.54399999999998</v>
      </c>
      <c r="P38" s="437">
        <v>21709.762999999999</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936</v>
      </c>
      <c r="G40" s="46"/>
    </row>
    <row r="41" spans="5:42" x14ac:dyDescent="0.25">
      <c r="E41" s="60"/>
      <c r="F41" s="111" t="s">
        <v>247</v>
      </c>
      <c r="G41" s="111" t="s">
        <v>207</v>
      </c>
      <c r="H41" s="90"/>
      <c r="I41" s="90"/>
      <c r="J41" s="112"/>
      <c r="K41" s="112"/>
      <c r="L41" s="435">
        <v>29101.976524345333</v>
      </c>
      <c r="M41" s="112"/>
      <c r="N41" s="435">
        <v>70214.940997212165</v>
      </c>
      <c r="O41" s="435">
        <v>640.93328333587624</v>
      </c>
      <c r="P41" s="435">
        <v>62616.787705325325</v>
      </c>
      <c r="Q41" s="112"/>
      <c r="R41" s="112"/>
      <c r="S41" s="112"/>
      <c r="T41" s="112"/>
      <c r="U41" s="112"/>
      <c r="V41" s="112"/>
      <c r="W41" s="112"/>
      <c r="X41" s="112"/>
      <c r="Y41" s="112"/>
    </row>
    <row r="42" spans="5:42" x14ac:dyDescent="0.25">
      <c r="E42" s="60"/>
      <c r="F42" s="113" t="s">
        <v>248</v>
      </c>
      <c r="G42" s="113" t="s">
        <v>207</v>
      </c>
      <c r="J42" s="114"/>
      <c r="K42" s="114"/>
      <c r="L42" s="436">
        <v>150985.81497134635</v>
      </c>
      <c r="M42" s="114"/>
      <c r="N42" s="436">
        <v>326249.73300726258</v>
      </c>
      <c r="O42" s="436">
        <v>2730.7150973827993</v>
      </c>
      <c r="P42" s="436">
        <v>299340.71587722353</v>
      </c>
      <c r="Q42" s="114"/>
      <c r="R42" s="114"/>
      <c r="S42" s="114"/>
      <c r="T42" s="114"/>
      <c r="U42" s="114"/>
      <c r="V42" s="114"/>
      <c r="W42" s="114"/>
      <c r="X42" s="114"/>
      <c r="Y42" s="114"/>
    </row>
    <row r="43" spans="5:42" x14ac:dyDescent="0.25">
      <c r="E43" s="60"/>
      <c r="F43" s="113" t="s">
        <v>249</v>
      </c>
      <c r="G43" s="113" t="s">
        <v>207</v>
      </c>
      <c r="J43" s="114"/>
      <c r="K43" s="114"/>
      <c r="L43" s="436">
        <v>124867.0687813894</v>
      </c>
      <c r="M43" s="114"/>
      <c r="N43" s="436">
        <v>286556.28865027358</v>
      </c>
      <c r="O43" s="436">
        <v>2796.0232013686013</v>
      </c>
      <c r="P43" s="436">
        <v>299261.62772174185</v>
      </c>
      <c r="Q43" s="114"/>
      <c r="R43" s="114"/>
      <c r="S43" s="114"/>
      <c r="T43" s="114"/>
      <c r="U43" s="114"/>
      <c r="V43" s="114"/>
      <c r="W43" s="114"/>
      <c r="X43" s="114"/>
      <c r="Y43" s="114"/>
    </row>
    <row r="44" spans="5:42" x14ac:dyDescent="0.25">
      <c r="E44" s="60"/>
      <c r="F44" s="113" t="s">
        <v>212</v>
      </c>
      <c r="G44" s="113" t="s">
        <v>212</v>
      </c>
      <c r="J44" s="114"/>
      <c r="K44" s="114"/>
      <c r="L44" s="436">
        <v>37112</v>
      </c>
      <c r="M44" s="114"/>
      <c r="N44" s="436">
        <v>3810</v>
      </c>
      <c r="O44" s="436">
        <v>23</v>
      </c>
      <c r="P44" s="436">
        <v>401</v>
      </c>
      <c r="Q44" s="114"/>
      <c r="R44" s="114"/>
      <c r="S44" s="114"/>
      <c r="T44" s="114"/>
      <c r="U44" s="114"/>
      <c r="V44" s="114"/>
      <c r="W44" s="114"/>
      <c r="X44" s="114"/>
      <c r="Y44" s="114"/>
    </row>
    <row r="45" spans="5:42" x14ac:dyDescent="0.25">
      <c r="E45" s="60"/>
      <c r="F45" s="113" t="s">
        <v>250</v>
      </c>
      <c r="G45" s="113" t="s">
        <v>251</v>
      </c>
      <c r="J45" s="114"/>
      <c r="K45" s="114"/>
      <c r="L45" s="114"/>
      <c r="M45" s="114"/>
      <c r="N45" s="436">
        <v>427058</v>
      </c>
      <c r="O45" s="436">
        <v>2620</v>
      </c>
      <c r="P45" s="436">
        <v>278962</v>
      </c>
      <c r="Q45" s="114"/>
      <c r="R45" s="114"/>
      <c r="S45" s="114"/>
      <c r="T45" s="114"/>
      <c r="U45" s="114"/>
      <c r="V45" s="114"/>
      <c r="W45" s="114"/>
      <c r="X45" s="114"/>
      <c r="Y45" s="114"/>
    </row>
    <row r="46" spans="5:42" x14ac:dyDescent="0.25">
      <c r="E46" s="60"/>
      <c r="F46" s="113" t="s">
        <v>252</v>
      </c>
      <c r="G46" s="113" t="s">
        <v>251</v>
      </c>
      <c r="J46" s="114"/>
      <c r="K46" s="114"/>
      <c r="L46" s="114"/>
      <c r="M46" s="114"/>
      <c r="N46" s="436">
        <v>6636.25</v>
      </c>
      <c r="O46" s="436">
        <v>240.66666666666666</v>
      </c>
      <c r="P46" s="436">
        <v>1776.0833333333335</v>
      </c>
      <c r="Q46" s="114"/>
      <c r="R46" s="114"/>
      <c r="S46" s="114"/>
      <c r="T46" s="114"/>
      <c r="U46" s="114"/>
      <c r="V46" s="114"/>
      <c r="W46" s="114"/>
      <c r="X46" s="114"/>
      <c r="Y46" s="114"/>
    </row>
    <row r="47" spans="5:42" x14ac:dyDescent="0.25">
      <c r="E47" s="60"/>
      <c r="F47" s="115" t="s">
        <v>253</v>
      </c>
      <c r="G47" s="115" t="s">
        <v>254</v>
      </c>
      <c r="H47" s="91"/>
      <c r="I47" s="91"/>
      <c r="J47" s="116"/>
      <c r="K47" s="116"/>
      <c r="L47" s="116"/>
      <c r="M47" s="116"/>
      <c r="N47" s="437">
        <v>57512.046000000002</v>
      </c>
      <c r="O47" s="437">
        <v>552.947</v>
      </c>
      <c r="P47" s="437">
        <v>33920.678999999996</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937</v>
      </c>
      <c r="G49" s="46"/>
    </row>
    <row r="50" spans="5:42" x14ac:dyDescent="0.25">
      <c r="E50" s="60"/>
      <c r="F50" s="111" t="s">
        <v>247</v>
      </c>
      <c r="G50" s="111" t="s">
        <v>207</v>
      </c>
      <c r="H50" s="90"/>
      <c r="I50" s="90"/>
      <c r="J50" s="112"/>
      <c r="K50" s="112"/>
      <c r="L50" s="435">
        <v>35680.021373431162</v>
      </c>
      <c r="M50" s="112"/>
      <c r="N50" s="435">
        <v>37760.726754192518</v>
      </c>
      <c r="O50" s="435">
        <v>1971.4644145437487</v>
      </c>
      <c r="P50" s="435">
        <v>55347.504030953489</v>
      </c>
      <c r="Q50" s="112"/>
      <c r="R50" s="112"/>
      <c r="S50" s="112"/>
      <c r="T50" s="112"/>
      <c r="U50" s="112"/>
      <c r="V50" s="112"/>
      <c r="W50" s="112"/>
      <c r="X50" s="112"/>
      <c r="Y50" s="112"/>
    </row>
    <row r="51" spans="5:42" x14ac:dyDescent="0.25">
      <c r="E51" s="60"/>
      <c r="F51" s="113" t="s">
        <v>248</v>
      </c>
      <c r="G51" s="113" t="s">
        <v>207</v>
      </c>
      <c r="J51" s="114"/>
      <c r="K51" s="114"/>
      <c r="L51" s="436">
        <v>185113.78774413836</v>
      </c>
      <c r="M51" s="114"/>
      <c r="N51" s="436">
        <v>183346.91599941591</v>
      </c>
      <c r="O51" s="436">
        <v>9124.5452309914381</v>
      </c>
      <c r="P51" s="436">
        <v>258476.65741877313</v>
      </c>
      <c r="Q51" s="114"/>
      <c r="R51" s="114"/>
      <c r="S51" s="114"/>
      <c r="T51" s="114"/>
      <c r="U51" s="114"/>
      <c r="V51" s="114"/>
      <c r="W51" s="114"/>
      <c r="X51" s="114"/>
      <c r="Y51" s="114"/>
    </row>
    <row r="52" spans="5:42" x14ac:dyDescent="0.25">
      <c r="E52" s="60"/>
      <c r="F52" s="113" t="s">
        <v>249</v>
      </c>
      <c r="G52" s="113" t="s">
        <v>207</v>
      </c>
      <c r="J52" s="114"/>
      <c r="K52" s="114"/>
      <c r="L52" s="436">
        <v>153091.30908103829</v>
      </c>
      <c r="M52" s="114"/>
      <c r="N52" s="436">
        <v>166169.22705479202</v>
      </c>
      <c r="O52" s="436">
        <v>10085.728515703873</v>
      </c>
      <c r="P52" s="436">
        <v>270569.8327389044</v>
      </c>
      <c r="Q52" s="114"/>
      <c r="R52" s="114"/>
      <c r="S52" s="114"/>
      <c r="T52" s="114"/>
      <c r="U52" s="114"/>
      <c r="V52" s="114"/>
      <c r="W52" s="114"/>
      <c r="X52" s="114"/>
      <c r="Y52" s="114"/>
    </row>
    <row r="53" spans="5:42" x14ac:dyDescent="0.25">
      <c r="E53" s="60"/>
      <c r="F53" s="113" t="s">
        <v>212</v>
      </c>
      <c r="G53" s="113" t="s">
        <v>212</v>
      </c>
      <c r="J53" s="114"/>
      <c r="K53" s="114"/>
      <c r="L53" s="436">
        <v>20997</v>
      </c>
      <c r="M53" s="114"/>
      <c r="N53" s="436">
        <v>1287</v>
      </c>
      <c r="O53" s="436">
        <v>42</v>
      </c>
      <c r="P53" s="436">
        <v>180</v>
      </c>
      <c r="Q53" s="114"/>
      <c r="R53" s="114"/>
      <c r="S53" s="114"/>
      <c r="T53" s="114"/>
      <c r="U53" s="114"/>
      <c r="V53" s="114"/>
      <c r="W53" s="114"/>
      <c r="X53" s="114"/>
      <c r="Y53" s="114"/>
    </row>
    <row r="54" spans="5:42" x14ac:dyDescent="0.25">
      <c r="E54" s="60"/>
      <c r="F54" s="113" t="s">
        <v>250</v>
      </c>
      <c r="G54" s="113" t="s">
        <v>251</v>
      </c>
      <c r="J54" s="114"/>
      <c r="K54" s="114"/>
      <c r="L54" s="114"/>
      <c r="M54" s="114"/>
      <c r="N54" s="436">
        <v>238424</v>
      </c>
      <c r="O54" s="436">
        <v>8152</v>
      </c>
      <c r="P54" s="436">
        <v>245287</v>
      </c>
      <c r="Q54" s="114"/>
      <c r="R54" s="114"/>
      <c r="S54" s="114"/>
      <c r="T54" s="114"/>
      <c r="U54" s="114"/>
      <c r="V54" s="114"/>
      <c r="W54" s="114"/>
      <c r="X54" s="114"/>
      <c r="Y54" s="114"/>
    </row>
    <row r="55" spans="5:42" x14ac:dyDescent="0.25">
      <c r="E55" s="60"/>
      <c r="F55" s="113" t="s">
        <v>252</v>
      </c>
      <c r="G55" s="113" t="s">
        <v>251</v>
      </c>
      <c r="J55" s="114"/>
      <c r="K55" s="114"/>
      <c r="L55" s="114"/>
      <c r="M55" s="114"/>
      <c r="N55" s="436">
        <v>1211.1666666666667</v>
      </c>
      <c r="O55" s="436">
        <v>59.583333333333336</v>
      </c>
      <c r="P55" s="436">
        <v>1505.75</v>
      </c>
      <c r="Q55" s="114"/>
      <c r="R55" s="114"/>
      <c r="S55" s="114"/>
      <c r="T55" s="114"/>
      <c r="U55" s="114"/>
      <c r="V55" s="114"/>
      <c r="W55" s="114"/>
      <c r="X55" s="114"/>
      <c r="Y55" s="114"/>
    </row>
    <row r="56" spans="5:42" x14ac:dyDescent="0.25">
      <c r="E56" s="60"/>
      <c r="F56" s="115" t="s">
        <v>253</v>
      </c>
      <c r="G56" s="115" t="s">
        <v>254</v>
      </c>
      <c r="H56" s="91"/>
      <c r="I56" s="91"/>
      <c r="J56" s="116"/>
      <c r="K56" s="116"/>
      <c r="L56" s="116"/>
      <c r="M56" s="116"/>
      <c r="N56" s="437">
        <v>30747.198</v>
      </c>
      <c r="O56" s="437">
        <v>2099.2820000000002</v>
      </c>
      <c r="P56" s="437">
        <v>30634.602999999999</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938</v>
      </c>
      <c r="G58" s="46"/>
    </row>
    <row r="59" spans="5:42" x14ac:dyDescent="0.25">
      <c r="E59" s="60"/>
      <c r="F59" s="111" t="s">
        <v>247</v>
      </c>
      <c r="G59" s="111" t="s">
        <v>207</v>
      </c>
      <c r="H59" s="90"/>
      <c r="I59" s="90"/>
      <c r="J59" s="112"/>
      <c r="K59" s="112"/>
      <c r="L59" s="435">
        <v>108952.04705330744</v>
      </c>
      <c r="M59" s="112"/>
      <c r="N59" s="435">
        <v>90467.623231445323</v>
      </c>
      <c r="O59" s="435">
        <v>21789.431072527386</v>
      </c>
      <c r="P59" s="435">
        <v>165384.58107252733</v>
      </c>
      <c r="Q59" s="112"/>
      <c r="R59" s="112"/>
      <c r="S59" s="112"/>
      <c r="T59" s="112"/>
      <c r="U59" s="112"/>
      <c r="V59" s="112"/>
      <c r="W59" s="112"/>
      <c r="X59" s="112"/>
      <c r="Y59" s="112"/>
    </row>
    <row r="60" spans="5:42" x14ac:dyDescent="0.25">
      <c r="E60" s="60"/>
      <c r="F60" s="113" t="s">
        <v>248</v>
      </c>
      <c r="G60" s="113" t="s">
        <v>207</v>
      </c>
      <c r="J60" s="114"/>
      <c r="K60" s="114"/>
      <c r="L60" s="436">
        <v>565261.04346825485</v>
      </c>
      <c r="M60" s="114"/>
      <c r="N60" s="436">
        <v>447579.0337871146</v>
      </c>
      <c r="O60" s="436">
        <v>102267.59954124269</v>
      </c>
      <c r="P60" s="436">
        <v>763065.83040227892</v>
      </c>
      <c r="Q60" s="114"/>
      <c r="R60" s="114"/>
      <c r="S60" s="114"/>
      <c r="T60" s="114"/>
      <c r="U60" s="114"/>
      <c r="V60" s="114"/>
      <c r="W60" s="114"/>
      <c r="X60" s="114"/>
      <c r="Y60" s="114"/>
    </row>
    <row r="61" spans="5:42" x14ac:dyDescent="0.25">
      <c r="E61" s="60"/>
      <c r="F61" s="113" t="s">
        <v>249</v>
      </c>
      <c r="G61" s="113" t="s">
        <v>207</v>
      </c>
      <c r="J61" s="114"/>
      <c r="K61" s="114"/>
      <c r="L61" s="436">
        <v>467477.62104397325</v>
      </c>
      <c r="M61" s="114"/>
      <c r="N61" s="436">
        <v>401012.17632340727</v>
      </c>
      <c r="O61" s="436">
        <v>103599.48218986468</v>
      </c>
      <c r="P61" s="436">
        <v>886837.84395632148</v>
      </c>
      <c r="Q61" s="114"/>
      <c r="R61" s="114"/>
      <c r="S61" s="114"/>
      <c r="T61" s="114"/>
      <c r="U61" s="114"/>
      <c r="V61" s="114"/>
      <c r="W61" s="114"/>
      <c r="X61" s="114"/>
      <c r="Y61" s="114"/>
    </row>
    <row r="62" spans="5:42" x14ac:dyDescent="0.25">
      <c r="E62" s="60"/>
      <c r="F62" s="113" t="s">
        <v>212</v>
      </c>
      <c r="G62" s="113" t="s">
        <v>212</v>
      </c>
      <c r="J62" s="114"/>
      <c r="K62" s="114"/>
      <c r="L62" s="436">
        <v>21920</v>
      </c>
      <c r="M62" s="114"/>
      <c r="N62" s="436">
        <v>1582</v>
      </c>
      <c r="O62" s="436">
        <v>208</v>
      </c>
      <c r="P62" s="436">
        <v>205</v>
      </c>
      <c r="Q62" s="114"/>
      <c r="R62" s="114"/>
      <c r="S62" s="114"/>
      <c r="T62" s="114"/>
      <c r="U62" s="114"/>
      <c r="V62" s="114"/>
      <c r="W62" s="114"/>
      <c r="X62" s="114"/>
      <c r="Y62" s="114"/>
    </row>
    <row r="63" spans="5:42" x14ac:dyDescent="0.25">
      <c r="E63" s="60"/>
      <c r="F63" s="113" t="s">
        <v>250</v>
      </c>
      <c r="G63" s="113" t="s">
        <v>251</v>
      </c>
      <c r="J63" s="114"/>
      <c r="K63" s="114"/>
      <c r="L63" s="114"/>
      <c r="M63" s="114"/>
      <c r="N63" s="436">
        <v>618955</v>
      </c>
      <c r="O63" s="436">
        <v>98526</v>
      </c>
      <c r="P63" s="436">
        <v>708459</v>
      </c>
      <c r="Q63" s="114"/>
      <c r="R63" s="114"/>
      <c r="S63" s="114"/>
      <c r="T63" s="114"/>
      <c r="U63" s="114"/>
      <c r="V63" s="114"/>
      <c r="W63" s="114"/>
      <c r="X63" s="114"/>
      <c r="Y63" s="114"/>
    </row>
    <row r="64" spans="5:42" x14ac:dyDescent="0.25">
      <c r="E64" s="60"/>
      <c r="F64" s="113" t="s">
        <v>252</v>
      </c>
      <c r="G64" s="113" t="s">
        <v>251</v>
      </c>
      <c r="J64" s="114"/>
      <c r="K64" s="114"/>
      <c r="L64" s="114"/>
      <c r="M64" s="114"/>
      <c r="N64" s="436">
        <v>1702.5833333333335</v>
      </c>
      <c r="O64" s="436">
        <v>348.83333333333331</v>
      </c>
      <c r="P64" s="436">
        <v>3677.916666666667</v>
      </c>
      <c r="Q64" s="114"/>
      <c r="R64" s="114"/>
      <c r="S64" s="114"/>
      <c r="T64" s="114"/>
      <c r="U64" s="114"/>
      <c r="V64" s="114"/>
      <c r="W64" s="114"/>
      <c r="X64" s="114"/>
      <c r="Y64" s="114"/>
    </row>
    <row r="65" spans="4:43" x14ac:dyDescent="0.25">
      <c r="E65" s="60"/>
      <c r="F65" s="115" t="s">
        <v>253</v>
      </c>
      <c r="G65" s="115" t="s">
        <v>254</v>
      </c>
      <c r="H65" s="91"/>
      <c r="I65" s="91"/>
      <c r="J65" s="116"/>
      <c r="K65" s="116"/>
      <c r="L65" s="116"/>
      <c r="M65" s="116"/>
      <c r="N65" s="437">
        <v>80417.395999999993</v>
      </c>
      <c r="O65" s="437">
        <v>17471.467000000001</v>
      </c>
      <c r="P65" s="437">
        <v>131681.10200000001</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948</v>
      </c>
      <c r="G67" s="46"/>
      <c r="I67" t="s">
        <v>154</v>
      </c>
      <c r="AQ67" t="s">
        <v>246</v>
      </c>
    </row>
    <row r="68" spans="4:43" x14ac:dyDescent="0.25">
      <c r="G68" s="46"/>
    </row>
    <row r="69" spans="4:43" x14ac:dyDescent="0.25">
      <c r="E69" s="60" t="s">
        <v>902</v>
      </c>
      <c r="G69" s="46"/>
    </row>
    <row r="70" spans="4:43" x14ac:dyDescent="0.25">
      <c r="E70" s="60"/>
      <c r="F70" s="111" t="s">
        <v>247</v>
      </c>
      <c r="G70" s="111" t="s">
        <v>207</v>
      </c>
      <c r="H70" s="90"/>
      <c r="I70" s="90"/>
      <c r="J70" s="112"/>
      <c r="K70" s="435">
        <v>1.5478688524590165</v>
      </c>
      <c r="L70" s="435">
        <v>0</v>
      </c>
      <c r="M70" s="435">
        <v>0</v>
      </c>
      <c r="N70" s="435">
        <v>0</v>
      </c>
      <c r="O70" s="112"/>
      <c r="P70" s="112"/>
      <c r="Q70" s="112"/>
      <c r="R70" s="435">
        <v>615.75443298228117</v>
      </c>
      <c r="S70" s="112"/>
      <c r="T70" s="435">
        <v>0</v>
      </c>
      <c r="U70" s="112"/>
      <c r="V70" s="112"/>
      <c r="W70" s="112"/>
      <c r="X70" s="112"/>
      <c r="Y70" s="112"/>
    </row>
    <row r="71" spans="4:43" x14ac:dyDescent="0.25">
      <c r="E71" s="60"/>
      <c r="F71" s="113" t="s">
        <v>248</v>
      </c>
      <c r="G71" s="113" t="s">
        <v>207</v>
      </c>
      <c r="J71" s="114"/>
      <c r="K71" s="436">
        <v>27.072885245901642</v>
      </c>
      <c r="L71" s="436">
        <v>0</v>
      </c>
      <c r="M71" s="436">
        <v>0</v>
      </c>
      <c r="N71" s="436">
        <v>0</v>
      </c>
      <c r="O71" s="114"/>
      <c r="P71" s="114"/>
      <c r="Q71" s="114"/>
      <c r="R71" s="436">
        <v>3480.0674308284702</v>
      </c>
      <c r="S71" s="114"/>
      <c r="T71" s="436">
        <v>0</v>
      </c>
      <c r="U71" s="114"/>
      <c r="V71" s="114"/>
      <c r="W71" s="114"/>
      <c r="X71" s="114"/>
      <c r="Y71" s="114"/>
    </row>
    <row r="72" spans="4:43" x14ac:dyDescent="0.25">
      <c r="E72" s="60"/>
      <c r="F72" s="113" t="s">
        <v>249</v>
      </c>
      <c r="G72" s="113" t="s">
        <v>207</v>
      </c>
      <c r="J72" s="114"/>
      <c r="K72" s="436">
        <v>137.73013114754099</v>
      </c>
      <c r="L72" s="436">
        <v>0</v>
      </c>
      <c r="M72" s="436">
        <v>0</v>
      </c>
      <c r="N72" s="436">
        <v>0</v>
      </c>
      <c r="O72" s="114"/>
      <c r="P72" s="114"/>
      <c r="Q72" s="114"/>
      <c r="R72" s="436">
        <v>1554.6667235714485</v>
      </c>
      <c r="S72" s="114"/>
      <c r="T72" s="436">
        <v>0</v>
      </c>
      <c r="U72" s="114"/>
      <c r="V72" s="114"/>
      <c r="W72" s="114"/>
      <c r="X72" s="114"/>
      <c r="Y72" s="114"/>
    </row>
    <row r="73" spans="4:43" x14ac:dyDescent="0.25">
      <c r="E73" s="60"/>
      <c r="F73" s="113" t="s">
        <v>212</v>
      </c>
      <c r="G73" s="113" t="s">
        <v>212</v>
      </c>
      <c r="J73" s="114"/>
      <c r="K73" s="436">
        <v>60</v>
      </c>
      <c r="L73" s="436">
        <v>0</v>
      </c>
      <c r="M73" s="436">
        <v>0</v>
      </c>
      <c r="N73" s="436">
        <v>0</v>
      </c>
      <c r="O73" s="114"/>
      <c r="P73" s="114"/>
      <c r="Q73" s="114"/>
      <c r="R73" s="436">
        <v>279</v>
      </c>
      <c r="S73" s="114"/>
      <c r="T73" s="436">
        <v>0</v>
      </c>
      <c r="U73" s="114"/>
      <c r="V73" s="114"/>
      <c r="W73" s="114"/>
      <c r="X73" s="114"/>
      <c r="Y73" s="114"/>
    </row>
    <row r="74" spans="4:43" x14ac:dyDescent="0.25">
      <c r="E74" s="60"/>
      <c r="F74" s="113" t="s">
        <v>250</v>
      </c>
      <c r="G74" s="113" t="s">
        <v>251</v>
      </c>
      <c r="J74" s="114"/>
      <c r="K74" s="114"/>
      <c r="L74" s="114"/>
      <c r="M74" s="114"/>
      <c r="N74" s="436">
        <v>0</v>
      </c>
      <c r="O74" s="114"/>
      <c r="P74" s="114"/>
      <c r="Q74" s="114"/>
      <c r="R74" s="114"/>
      <c r="S74" s="114"/>
      <c r="T74" s="114"/>
      <c r="U74" s="114"/>
      <c r="V74" s="114"/>
      <c r="W74" s="114"/>
      <c r="X74" s="114"/>
      <c r="Y74" s="114"/>
    </row>
    <row r="75" spans="4:43" x14ac:dyDescent="0.25">
      <c r="E75" s="60"/>
      <c r="F75" s="113" t="s">
        <v>252</v>
      </c>
      <c r="G75" s="113" t="s">
        <v>251</v>
      </c>
      <c r="J75" s="114"/>
      <c r="K75" s="114"/>
      <c r="L75" s="114"/>
      <c r="M75" s="114"/>
      <c r="N75" s="436">
        <v>0</v>
      </c>
      <c r="O75" s="114"/>
      <c r="P75" s="114"/>
      <c r="Q75" s="114"/>
      <c r="R75" s="114"/>
      <c r="S75" s="114"/>
      <c r="T75" s="114"/>
      <c r="U75" s="114"/>
      <c r="V75" s="114"/>
      <c r="W75" s="114"/>
      <c r="X75" s="114"/>
      <c r="Y75" s="114"/>
    </row>
    <row r="76" spans="4:43" x14ac:dyDescent="0.25">
      <c r="E76" s="60"/>
      <c r="F76" s="115" t="s">
        <v>253</v>
      </c>
      <c r="G76" s="115" t="s">
        <v>254</v>
      </c>
      <c r="H76" s="91"/>
      <c r="I76" s="91"/>
      <c r="J76" s="116"/>
      <c r="K76" s="116"/>
      <c r="L76" s="116"/>
      <c r="M76" s="116"/>
      <c r="N76" s="437">
        <v>0</v>
      </c>
      <c r="O76" s="116"/>
      <c r="P76" s="116"/>
      <c r="Q76" s="116"/>
      <c r="R76" s="116"/>
      <c r="S76" s="116"/>
      <c r="T76" s="437">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939</v>
      </c>
      <c r="G78" s="46"/>
    </row>
    <row r="79" spans="4:43" x14ac:dyDescent="0.25">
      <c r="E79" s="60"/>
      <c r="F79" s="111" t="s">
        <v>247</v>
      </c>
      <c r="G79" s="111" t="s">
        <v>207</v>
      </c>
      <c r="H79" s="90"/>
      <c r="I79" s="90"/>
      <c r="J79" s="435">
        <v>20800.944795377112</v>
      </c>
      <c r="K79" s="112"/>
      <c r="L79" s="435">
        <v>171.93370777999971</v>
      </c>
      <c r="M79" s="112"/>
      <c r="N79" s="435">
        <v>273.19500000000005</v>
      </c>
      <c r="O79" s="112"/>
      <c r="P79" s="112"/>
      <c r="Q79" s="435">
        <v>22.985167530544242</v>
      </c>
      <c r="R79" s="112"/>
      <c r="S79" s="112"/>
      <c r="T79" s="112"/>
      <c r="U79" s="112"/>
      <c r="V79" s="112"/>
      <c r="W79" s="112"/>
      <c r="X79" s="112"/>
      <c r="Y79" s="112"/>
    </row>
    <row r="80" spans="4:43" x14ac:dyDescent="0.25">
      <c r="E80" s="60"/>
      <c r="F80" s="113" t="s">
        <v>248</v>
      </c>
      <c r="G80" s="113" t="s">
        <v>207</v>
      </c>
      <c r="J80" s="436">
        <v>76551.123397066825</v>
      </c>
      <c r="K80" s="114"/>
      <c r="L80" s="436">
        <v>890.32175082953381</v>
      </c>
      <c r="M80" s="121"/>
      <c r="N80" s="436">
        <v>1365.367</v>
      </c>
      <c r="O80" s="114"/>
      <c r="P80" s="114"/>
      <c r="Q80" s="436">
        <v>327.55783312906374</v>
      </c>
      <c r="R80" s="114"/>
      <c r="S80" s="114"/>
      <c r="T80" s="114"/>
      <c r="U80" s="114"/>
      <c r="V80" s="114"/>
      <c r="W80" s="114"/>
      <c r="X80" s="114"/>
      <c r="Y80" s="114"/>
    </row>
    <row r="81" spans="5:42" x14ac:dyDescent="0.25">
      <c r="E81" s="60"/>
      <c r="F81" s="113" t="s">
        <v>249</v>
      </c>
      <c r="G81" s="113" t="s">
        <v>207</v>
      </c>
      <c r="J81" s="436">
        <v>66125.185859945428</v>
      </c>
      <c r="K81" s="114"/>
      <c r="L81" s="436">
        <v>695.67973786125947</v>
      </c>
      <c r="M81" s="121"/>
      <c r="N81" s="436">
        <v>1972.5240000000003</v>
      </c>
      <c r="O81" s="114"/>
      <c r="P81" s="114"/>
      <c r="Q81" s="436">
        <v>357.92923139806027</v>
      </c>
      <c r="R81" s="114"/>
      <c r="S81" s="114"/>
      <c r="T81" s="114"/>
      <c r="U81" s="114"/>
      <c r="V81" s="114"/>
      <c r="W81" s="114"/>
      <c r="X81" s="114"/>
      <c r="Y81" s="114"/>
    </row>
    <row r="82" spans="5:42" x14ac:dyDescent="0.25">
      <c r="E82" s="60"/>
      <c r="F82" s="113" t="s">
        <v>212</v>
      </c>
      <c r="G82" s="113" t="s">
        <v>212</v>
      </c>
      <c r="J82" s="436">
        <v>59513</v>
      </c>
      <c r="K82" s="114"/>
      <c r="L82" s="436">
        <v>687</v>
      </c>
      <c r="M82" s="121"/>
      <c r="N82" s="436">
        <v>38</v>
      </c>
      <c r="O82" s="114"/>
      <c r="P82" s="114"/>
      <c r="Q82" s="436">
        <v>84</v>
      </c>
      <c r="R82" s="114"/>
      <c r="S82" s="114"/>
      <c r="T82" s="114"/>
      <c r="U82" s="114"/>
      <c r="V82" s="114"/>
      <c r="W82" s="114"/>
      <c r="X82" s="114"/>
      <c r="Y82" s="114"/>
    </row>
    <row r="83" spans="5:42" x14ac:dyDescent="0.25">
      <c r="E83" s="60"/>
      <c r="F83" s="113" t="s">
        <v>250</v>
      </c>
      <c r="G83" s="113" t="s">
        <v>251</v>
      </c>
      <c r="J83" s="114"/>
      <c r="K83" s="114"/>
      <c r="L83" s="114"/>
      <c r="M83" s="121"/>
      <c r="N83" s="436">
        <v>2089</v>
      </c>
      <c r="O83" s="114"/>
      <c r="P83" s="114"/>
      <c r="Q83" s="114"/>
      <c r="R83" s="114"/>
      <c r="S83" s="114"/>
      <c r="T83" s="114"/>
      <c r="U83" s="114"/>
      <c r="V83" s="114"/>
      <c r="W83" s="114"/>
      <c r="X83" s="114"/>
      <c r="Y83" s="114"/>
    </row>
    <row r="84" spans="5:42" x14ac:dyDescent="0.25">
      <c r="E84" s="60"/>
      <c r="F84" s="113" t="s">
        <v>252</v>
      </c>
      <c r="G84" s="113" t="s">
        <v>251</v>
      </c>
      <c r="J84" s="114"/>
      <c r="K84" s="114"/>
      <c r="L84" s="114"/>
      <c r="M84" s="121"/>
      <c r="N84" s="436">
        <v>1519</v>
      </c>
      <c r="O84" s="114"/>
      <c r="P84" s="114"/>
      <c r="Q84" s="114"/>
      <c r="R84" s="114"/>
      <c r="S84" s="114"/>
      <c r="T84" s="114"/>
      <c r="U84" s="114"/>
      <c r="V84" s="114"/>
      <c r="W84" s="114"/>
      <c r="X84" s="114"/>
      <c r="Y84" s="114"/>
    </row>
    <row r="85" spans="5:42" x14ac:dyDescent="0.25">
      <c r="E85" s="60"/>
      <c r="F85" s="115" t="s">
        <v>253</v>
      </c>
      <c r="G85" s="115" t="s">
        <v>254</v>
      </c>
      <c r="H85" s="91"/>
      <c r="I85" s="91"/>
      <c r="J85" s="116"/>
      <c r="K85" s="116"/>
      <c r="L85" s="116"/>
      <c r="M85" s="116"/>
      <c r="N85" s="437">
        <v>317.90800000000002</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940</v>
      </c>
      <c r="G87" s="46"/>
    </row>
    <row r="88" spans="5:42" x14ac:dyDescent="0.25">
      <c r="E88" s="60"/>
      <c r="F88" s="111" t="s">
        <v>247</v>
      </c>
      <c r="G88" s="111" t="s">
        <v>207</v>
      </c>
      <c r="H88" s="90"/>
      <c r="I88" s="90"/>
      <c r="J88" s="112"/>
      <c r="K88" s="112"/>
      <c r="L88" s="435">
        <v>238.96571269020731</v>
      </c>
      <c r="M88" s="112"/>
      <c r="N88" s="435">
        <v>526.68299999999999</v>
      </c>
      <c r="O88" s="112"/>
      <c r="P88" s="112"/>
      <c r="Q88" s="112"/>
      <c r="R88" s="112"/>
      <c r="S88" s="112"/>
      <c r="T88" s="112"/>
      <c r="U88" s="112"/>
      <c r="V88" s="112"/>
      <c r="W88" s="112"/>
      <c r="X88" s="112"/>
      <c r="Y88" s="112"/>
    </row>
    <row r="89" spans="5:42" x14ac:dyDescent="0.25">
      <c r="E89" s="60"/>
      <c r="F89" s="113" t="s">
        <v>248</v>
      </c>
      <c r="G89" s="113" t="s">
        <v>207</v>
      </c>
      <c r="J89" s="114"/>
      <c r="K89" s="114"/>
      <c r="L89" s="436">
        <v>1237.4936491473559</v>
      </c>
      <c r="M89" s="121"/>
      <c r="N89" s="436">
        <v>2437.8400000000006</v>
      </c>
      <c r="O89" s="114"/>
      <c r="P89" s="114"/>
      <c r="Q89" s="114"/>
      <c r="R89" s="114"/>
      <c r="S89" s="114"/>
      <c r="T89" s="114"/>
      <c r="U89" s="114"/>
      <c r="V89" s="114"/>
      <c r="W89" s="114"/>
      <c r="X89" s="114"/>
      <c r="Y89" s="114"/>
    </row>
    <row r="90" spans="5:42" x14ac:dyDescent="0.25">
      <c r="E90" s="60"/>
      <c r="F90" s="113" t="s">
        <v>249</v>
      </c>
      <c r="G90" s="113" t="s">
        <v>207</v>
      </c>
      <c r="J90" s="114"/>
      <c r="K90" s="114"/>
      <c r="L90" s="436">
        <v>968.95806960186758</v>
      </c>
      <c r="M90" s="121"/>
      <c r="N90" s="436">
        <v>1967.1180000000002</v>
      </c>
      <c r="O90" s="114"/>
      <c r="P90" s="114"/>
      <c r="Q90" s="114"/>
      <c r="R90" s="114"/>
      <c r="S90" s="114"/>
      <c r="T90" s="114"/>
      <c r="U90" s="114"/>
      <c r="V90" s="114"/>
      <c r="W90" s="114"/>
      <c r="X90" s="114"/>
      <c r="Y90" s="114"/>
    </row>
    <row r="91" spans="5:42" x14ac:dyDescent="0.25">
      <c r="E91" s="60"/>
      <c r="F91" s="113" t="s">
        <v>212</v>
      </c>
      <c r="G91" s="113" t="s">
        <v>212</v>
      </c>
      <c r="J91" s="114"/>
      <c r="K91" s="114"/>
      <c r="L91" s="436">
        <v>368</v>
      </c>
      <c r="M91" s="121"/>
      <c r="N91" s="436">
        <v>47</v>
      </c>
      <c r="O91" s="114"/>
      <c r="P91" s="114"/>
      <c r="Q91" s="114"/>
      <c r="R91" s="114"/>
      <c r="S91" s="114"/>
      <c r="T91" s="114"/>
      <c r="U91" s="114"/>
      <c r="V91" s="114"/>
      <c r="W91" s="114"/>
      <c r="X91" s="114"/>
      <c r="Y91" s="114"/>
    </row>
    <row r="92" spans="5:42" x14ac:dyDescent="0.25">
      <c r="E92" s="60"/>
      <c r="F92" s="113" t="s">
        <v>250</v>
      </c>
      <c r="G92" s="113" t="s">
        <v>251</v>
      </c>
      <c r="J92" s="114"/>
      <c r="K92" s="114"/>
      <c r="L92" s="114"/>
      <c r="M92" s="121"/>
      <c r="N92" s="436">
        <v>5053</v>
      </c>
      <c r="O92" s="114"/>
      <c r="P92" s="114"/>
      <c r="Q92" s="114"/>
      <c r="R92" s="114"/>
      <c r="S92" s="114"/>
      <c r="T92" s="114"/>
      <c r="U92" s="114"/>
      <c r="V92" s="114"/>
      <c r="W92" s="114"/>
      <c r="X92" s="114"/>
      <c r="Y92" s="114"/>
    </row>
    <row r="93" spans="5:42" x14ac:dyDescent="0.25">
      <c r="E93" s="60"/>
      <c r="F93" s="113" t="s">
        <v>252</v>
      </c>
      <c r="G93" s="113" t="s">
        <v>251</v>
      </c>
      <c r="J93" s="114"/>
      <c r="K93" s="114"/>
      <c r="L93" s="114"/>
      <c r="M93" s="121"/>
      <c r="N93" s="436">
        <v>0</v>
      </c>
      <c r="O93" s="114"/>
      <c r="P93" s="114"/>
      <c r="Q93" s="114"/>
      <c r="R93" s="114"/>
      <c r="S93" s="114"/>
      <c r="T93" s="114"/>
      <c r="U93" s="114"/>
      <c r="V93" s="114"/>
      <c r="W93" s="114"/>
      <c r="X93" s="114"/>
      <c r="Y93" s="114"/>
    </row>
    <row r="94" spans="5:42" x14ac:dyDescent="0.25">
      <c r="E94" s="60"/>
      <c r="F94" s="115" t="s">
        <v>253</v>
      </c>
      <c r="G94" s="115" t="s">
        <v>254</v>
      </c>
      <c r="H94" s="91"/>
      <c r="I94" s="91"/>
      <c r="J94" s="116"/>
      <c r="K94" s="116"/>
      <c r="L94" s="116"/>
      <c r="M94" s="116"/>
      <c r="N94" s="437">
        <v>610.47</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941</v>
      </c>
      <c r="G96" s="46"/>
    </row>
    <row r="97" spans="5:42" x14ac:dyDescent="0.25">
      <c r="E97" s="60"/>
      <c r="F97" s="111" t="s">
        <v>247</v>
      </c>
      <c r="G97" s="111" t="s">
        <v>207</v>
      </c>
      <c r="H97" s="90"/>
      <c r="I97" s="90"/>
      <c r="J97" s="112"/>
      <c r="K97" s="112"/>
      <c r="L97" s="435">
        <v>158.34764941383807</v>
      </c>
      <c r="M97" s="112"/>
      <c r="N97" s="435">
        <v>1094.922</v>
      </c>
      <c r="O97" s="112"/>
      <c r="P97" s="112"/>
      <c r="Q97" s="112"/>
      <c r="R97" s="112"/>
      <c r="S97" s="112"/>
      <c r="T97" s="112"/>
      <c r="U97" s="112"/>
      <c r="V97" s="112"/>
      <c r="W97" s="112"/>
      <c r="X97" s="112"/>
      <c r="Y97" s="112"/>
    </row>
    <row r="98" spans="5:42" x14ac:dyDescent="0.25">
      <c r="E98" s="60"/>
      <c r="F98" s="113" t="s">
        <v>248</v>
      </c>
      <c r="G98" s="113" t="s">
        <v>207</v>
      </c>
      <c r="J98" s="114"/>
      <c r="K98" s="114"/>
      <c r="L98" s="436">
        <v>824.82480682068524</v>
      </c>
      <c r="M98" s="121"/>
      <c r="N98" s="436">
        <v>4787.7110000000002</v>
      </c>
      <c r="O98" s="114"/>
      <c r="P98" s="114"/>
      <c r="Q98" s="114"/>
      <c r="R98" s="114"/>
      <c r="S98" s="114"/>
      <c r="T98" s="114"/>
      <c r="U98" s="114"/>
      <c r="V98" s="114"/>
      <c r="W98" s="114"/>
      <c r="X98" s="114"/>
      <c r="Y98" s="114"/>
    </row>
    <row r="99" spans="5:42" x14ac:dyDescent="0.25">
      <c r="E99" s="60"/>
      <c r="F99" s="113" t="s">
        <v>249</v>
      </c>
      <c r="G99" s="113" t="s">
        <v>207</v>
      </c>
      <c r="J99" s="114"/>
      <c r="K99" s="114"/>
      <c r="L99" s="436">
        <v>652.901635084708</v>
      </c>
      <c r="M99" s="121"/>
      <c r="N99" s="436">
        <v>4540.0029999999997</v>
      </c>
      <c r="O99" s="114"/>
      <c r="P99" s="114"/>
      <c r="Q99" s="114"/>
      <c r="R99" s="114"/>
      <c r="S99" s="114"/>
      <c r="T99" s="114"/>
      <c r="U99" s="114"/>
      <c r="V99" s="114"/>
      <c r="W99" s="114"/>
      <c r="X99" s="114"/>
      <c r="Y99" s="114"/>
    </row>
    <row r="100" spans="5:42" x14ac:dyDescent="0.25">
      <c r="E100" s="60"/>
      <c r="F100" s="113" t="s">
        <v>212</v>
      </c>
      <c r="G100" s="113" t="s">
        <v>212</v>
      </c>
      <c r="J100" s="114"/>
      <c r="K100" s="114"/>
      <c r="L100" s="436">
        <v>166</v>
      </c>
      <c r="M100" s="121"/>
      <c r="N100" s="436">
        <v>44</v>
      </c>
      <c r="O100" s="114"/>
      <c r="P100" s="114"/>
      <c r="Q100" s="114"/>
      <c r="R100" s="114"/>
      <c r="S100" s="114"/>
      <c r="T100" s="114"/>
      <c r="U100" s="114"/>
      <c r="V100" s="114"/>
      <c r="W100" s="114"/>
      <c r="X100" s="114"/>
      <c r="Y100" s="114"/>
    </row>
    <row r="101" spans="5:42" x14ac:dyDescent="0.25">
      <c r="E101" s="60"/>
      <c r="F101" s="113" t="s">
        <v>250</v>
      </c>
      <c r="G101" s="113" t="s">
        <v>251</v>
      </c>
      <c r="J101" s="114"/>
      <c r="K101" s="114"/>
      <c r="L101" s="114"/>
      <c r="M101" s="121"/>
      <c r="N101" s="436">
        <v>8135</v>
      </c>
      <c r="O101" s="114"/>
      <c r="P101" s="114"/>
      <c r="Q101" s="114"/>
      <c r="R101" s="114"/>
      <c r="S101" s="114"/>
      <c r="T101" s="114"/>
      <c r="U101" s="114"/>
      <c r="V101" s="114"/>
      <c r="W101" s="114"/>
      <c r="X101" s="114"/>
      <c r="Y101" s="114"/>
    </row>
    <row r="102" spans="5:42" x14ac:dyDescent="0.25">
      <c r="E102" s="60"/>
      <c r="F102" s="113" t="s">
        <v>252</v>
      </c>
      <c r="G102" s="113" t="s">
        <v>251</v>
      </c>
      <c r="J102" s="114"/>
      <c r="K102" s="114"/>
      <c r="L102" s="114"/>
      <c r="M102" s="121"/>
      <c r="N102" s="436">
        <v>0</v>
      </c>
      <c r="O102" s="114"/>
      <c r="P102" s="114"/>
      <c r="Q102" s="114"/>
      <c r="R102" s="114"/>
      <c r="S102" s="114"/>
      <c r="T102" s="114"/>
      <c r="U102" s="114"/>
      <c r="V102" s="114"/>
      <c r="W102" s="114"/>
      <c r="X102" s="114"/>
      <c r="Y102" s="114"/>
    </row>
    <row r="103" spans="5:42" x14ac:dyDescent="0.25">
      <c r="E103" s="60"/>
      <c r="F103" s="115" t="s">
        <v>253</v>
      </c>
      <c r="G103" s="115" t="s">
        <v>254</v>
      </c>
      <c r="H103" s="91"/>
      <c r="I103" s="91"/>
      <c r="J103" s="116"/>
      <c r="K103" s="116"/>
      <c r="L103" s="116"/>
      <c r="M103" s="116"/>
      <c r="N103" s="437">
        <v>593.77800000000002</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942</v>
      </c>
      <c r="G105" s="46"/>
    </row>
    <row r="106" spans="5:42" x14ac:dyDescent="0.25">
      <c r="E106" s="60"/>
      <c r="F106" s="111" t="s">
        <v>247</v>
      </c>
      <c r="G106" s="111" t="s">
        <v>207</v>
      </c>
      <c r="H106" s="90"/>
      <c r="I106" s="90"/>
      <c r="J106" s="112"/>
      <c r="K106" s="112"/>
      <c r="L106" s="435">
        <v>257.98268154216731</v>
      </c>
      <c r="M106" s="112"/>
      <c r="N106" s="435">
        <v>338.16999999999996</v>
      </c>
      <c r="O106" s="112"/>
      <c r="P106" s="112"/>
      <c r="Q106" s="112"/>
      <c r="R106" s="112"/>
      <c r="S106" s="112"/>
      <c r="T106" s="112"/>
      <c r="U106" s="112"/>
      <c r="V106" s="112"/>
      <c r="W106" s="112"/>
      <c r="X106" s="112"/>
      <c r="Y106" s="112"/>
    </row>
    <row r="107" spans="5:42" x14ac:dyDescent="0.25">
      <c r="E107" s="60"/>
      <c r="F107" s="113" t="s">
        <v>248</v>
      </c>
      <c r="G107" s="113" t="s">
        <v>207</v>
      </c>
      <c r="J107" s="114"/>
      <c r="K107" s="114"/>
      <c r="L107" s="436">
        <v>1331.4089514678299</v>
      </c>
      <c r="M107" s="121"/>
      <c r="N107" s="436">
        <v>1509.8209999999999</v>
      </c>
      <c r="O107" s="114"/>
      <c r="P107" s="114"/>
      <c r="Q107" s="114"/>
      <c r="R107" s="114"/>
      <c r="S107" s="114"/>
      <c r="T107" s="114"/>
      <c r="U107" s="114"/>
      <c r="V107" s="114"/>
      <c r="W107" s="114"/>
      <c r="X107" s="114"/>
      <c r="Y107" s="114"/>
    </row>
    <row r="108" spans="5:42" x14ac:dyDescent="0.25">
      <c r="E108" s="60"/>
      <c r="F108" s="113" t="s">
        <v>249</v>
      </c>
      <c r="G108" s="113" t="s">
        <v>207</v>
      </c>
      <c r="J108" s="114"/>
      <c r="K108" s="114"/>
      <c r="L108" s="436">
        <v>1049.2257584326837</v>
      </c>
      <c r="M108" s="121"/>
      <c r="N108" s="436">
        <v>1369.2670000000001</v>
      </c>
      <c r="O108" s="114"/>
      <c r="P108" s="114"/>
      <c r="Q108" s="114"/>
      <c r="R108" s="114"/>
      <c r="S108" s="114"/>
      <c r="T108" s="114"/>
      <c r="U108" s="114"/>
      <c r="V108" s="114"/>
      <c r="W108" s="114"/>
      <c r="X108" s="114"/>
      <c r="Y108" s="114"/>
    </row>
    <row r="109" spans="5:42" x14ac:dyDescent="0.25">
      <c r="E109" s="60"/>
      <c r="F109" s="113" t="s">
        <v>212</v>
      </c>
      <c r="G109" s="113" t="s">
        <v>212</v>
      </c>
      <c r="J109" s="114"/>
      <c r="K109" s="114"/>
      <c r="L109" s="436">
        <v>107</v>
      </c>
      <c r="M109" s="121"/>
      <c r="N109" s="436">
        <v>17</v>
      </c>
      <c r="O109" s="114"/>
      <c r="P109" s="114"/>
      <c r="Q109" s="114"/>
      <c r="R109" s="114"/>
      <c r="S109" s="114"/>
      <c r="T109" s="114"/>
      <c r="U109" s="114"/>
      <c r="V109" s="114"/>
      <c r="W109" s="114"/>
      <c r="X109" s="114"/>
      <c r="Y109" s="114"/>
    </row>
    <row r="110" spans="5:42" x14ac:dyDescent="0.25">
      <c r="E110" s="60"/>
      <c r="F110" s="113" t="s">
        <v>250</v>
      </c>
      <c r="G110" s="113" t="s">
        <v>251</v>
      </c>
      <c r="J110" s="114"/>
      <c r="K110" s="114"/>
      <c r="L110" s="114"/>
      <c r="M110" s="121"/>
      <c r="N110" s="436">
        <v>7497</v>
      </c>
      <c r="O110" s="114"/>
      <c r="P110" s="114"/>
      <c r="Q110" s="114"/>
      <c r="R110" s="114"/>
      <c r="S110" s="114"/>
      <c r="T110" s="114"/>
      <c r="U110" s="114"/>
      <c r="V110" s="114"/>
      <c r="W110" s="114"/>
      <c r="X110" s="114"/>
      <c r="Y110" s="114"/>
    </row>
    <row r="111" spans="5:42" x14ac:dyDescent="0.25">
      <c r="E111" s="60"/>
      <c r="F111" s="113" t="s">
        <v>252</v>
      </c>
      <c r="G111" s="113" t="s">
        <v>251</v>
      </c>
      <c r="J111" s="114"/>
      <c r="K111" s="114"/>
      <c r="L111" s="114"/>
      <c r="M111" s="121"/>
      <c r="N111" s="436">
        <v>0</v>
      </c>
      <c r="O111" s="114"/>
      <c r="P111" s="114"/>
      <c r="Q111" s="114"/>
      <c r="R111" s="114"/>
      <c r="S111" s="114"/>
      <c r="T111" s="114"/>
      <c r="U111" s="114"/>
      <c r="V111" s="114"/>
      <c r="W111" s="114"/>
      <c r="X111" s="114"/>
      <c r="Y111" s="114"/>
    </row>
    <row r="112" spans="5:42" x14ac:dyDescent="0.25">
      <c r="E112" s="60"/>
      <c r="F112" s="115" t="s">
        <v>253</v>
      </c>
      <c r="G112" s="115" t="s">
        <v>254</v>
      </c>
      <c r="H112" s="91"/>
      <c r="I112" s="91"/>
      <c r="J112" s="116"/>
      <c r="K112" s="116"/>
      <c r="L112" s="116"/>
      <c r="M112" s="116"/>
      <c r="N112" s="437">
        <v>194.316</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949</v>
      </c>
      <c r="G114" s="46"/>
      <c r="I114" t="s">
        <v>154</v>
      </c>
      <c r="AQ114" t="s">
        <v>246</v>
      </c>
    </row>
    <row r="115" spans="4:43" x14ac:dyDescent="0.25">
      <c r="G115" s="46"/>
    </row>
    <row r="116" spans="4:43" x14ac:dyDescent="0.25">
      <c r="E116" s="60" t="s">
        <v>903</v>
      </c>
      <c r="G116" s="46"/>
    </row>
    <row r="117" spans="4:43" x14ac:dyDescent="0.25">
      <c r="E117" s="60"/>
      <c r="F117" s="111" t="s">
        <v>247</v>
      </c>
      <c r="G117" s="111" t="s">
        <v>207</v>
      </c>
      <c r="H117" s="90"/>
      <c r="I117" s="90"/>
      <c r="J117" s="112"/>
      <c r="K117" s="435">
        <v>0</v>
      </c>
      <c r="L117" s="435">
        <v>0</v>
      </c>
      <c r="M117" s="435">
        <v>0</v>
      </c>
      <c r="N117" s="435">
        <v>0</v>
      </c>
      <c r="O117" s="435">
        <v>0</v>
      </c>
      <c r="P117" s="435">
        <v>0</v>
      </c>
      <c r="Q117" s="112"/>
      <c r="R117" s="435">
        <v>4185.4514724520768</v>
      </c>
      <c r="S117" s="435">
        <v>0</v>
      </c>
      <c r="T117" s="435">
        <v>4.4000000000000011E-2</v>
      </c>
      <c r="U117" s="112"/>
      <c r="V117" s="435">
        <v>0</v>
      </c>
      <c r="W117" s="112"/>
      <c r="X117" s="435">
        <v>0</v>
      </c>
      <c r="Y117" s="112"/>
    </row>
    <row r="118" spans="4:43" x14ac:dyDescent="0.25">
      <c r="E118" s="60"/>
      <c r="F118" s="113" t="s">
        <v>248</v>
      </c>
      <c r="G118" s="113" t="s">
        <v>207</v>
      </c>
      <c r="J118" s="114"/>
      <c r="K118" s="436">
        <v>14.669999999999998</v>
      </c>
      <c r="L118" s="436">
        <v>0</v>
      </c>
      <c r="M118" s="436">
        <v>0</v>
      </c>
      <c r="N118" s="436">
        <v>0</v>
      </c>
      <c r="O118" s="436">
        <v>0</v>
      </c>
      <c r="P118" s="436">
        <v>0</v>
      </c>
      <c r="Q118" s="114"/>
      <c r="R118" s="436">
        <v>22119.511332572329</v>
      </c>
      <c r="S118" s="436">
        <v>0</v>
      </c>
      <c r="T118" s="436">
        <v>0.47600000000000015</v>
      </c>
      <c r="U118" s="114"/>
      <c r="V118" s="436">
        <v>0</v>
      </c>
      <c r="W118" s="114"/>
      <c r="X118" s="436">
        <v>0</v>
      </c>
      <c r="Y118" s="114"/>
    </row>
    <row r="119" spans="4:43" x14ac:dyDescent="0.25">
      <c r="E119" s="60"/>
      <c r="F119" s="113" t="s">
        <v>249</v>
      </c>
      <c r="G119" s="113" t="s">
        <v>207</v>
      </c>
      <c r="J119" s="114"/>
      <c r="K119" s="436">
        <v>260.36899999999997</v>
      </c>
      <c r="L119" s="436">
        <v>0</v>
      </c>
      <c r="M119" s="436">
        <v>0</v>
      </c>
      <c r="N119" s="436">
        <v>0</v>
      </c>
      <c r="O119" s="436">
        <v>0</v>
      </c>
      <c r="P119" s="436">
        <v>0</v>
      </c>
      <c r="Q119" s="114"/>
      <c r="R119" s="436">
        <v>9947.1981126761348</v>
      </c>
      <c r="S119" s="436">
        <v>0</v>
      </c>
      <c r="T119" s="436">
        <v>1.202</v>
      </c>
      <c r="U119" s="114"/>
      <c r="V119" s="436">
        <v>0</v>
      </c>
      <c r="W119" s="114"/>
      <c r="X119" s="436">
        <v>0</v>
      </c>
      <c r="Y119" s="114"/>
    </row>
    <row r="120" spans="4:43" x14ac:dyDescent="0.25">
      <c r="E120" s="60"/>
      <c r="F120" s="113" t="s">
        <v>212</v>
      </c>
      <c r="G120" s="113" t="s">
        <v>212</v>
      </c>
      <c r="J120" s="114"/>
      <c r="K120" s="436">
        <v>70</v>
      </c>
      <c r="L120" s="436">
        <v>0</v>
      </c>
      <c r="M120" s="436">
        <v>0</v>
      </c>
      <c r="N120" s="436">
        <v>0</v>
      </c>
      <c r="O120" s="436">
        <v>0</v>
      </c>
      <c r="P120" s="436">
        <v>0</v>
      </c>
      <c r="Q120" s="114"/>
      <c r="R120" s="436">
        <v>1872</v>
      </c>
      <c r="S120" s="436">
        <v>0</v>
      </c>
      <c r="T120" s="436">
        <v>1</v>
      </c>
      <c r="U120" s="114"/>
      <c r="V120" s="436">
        <v>0</v>
      </c>
      <c r="W120" s="114"/>
      <c r="X120" s="436">
        <v>0</v>
      </c>
      <c r="Y120" s="114"/>
    </row>
    <row r="121" spans="4:43" x14ac:dyDescent="0.25">
      <c r="E121" s="60"/>
      <c r="F121" s="113" t="s">
        <v>250</v>
      </c>
      <c r="G121" s="113" t="s">
        <v>251</v>
      </c>
      <c r="J121" s="114"/>
      <c r="K121" s="114"/>
      <c r="L121" s="114"/>
      <c r="M121" s="114"/>
      <c r="N121" s="436">
        <v>0</v>
      </c>
      <c r="O121" s="436">
        <v>0</v>
      </c>
      <c r="P121" s="436">
        <v>0</v>
      </c>
      <c r="Q121" s="114"/>
      <c r="R121" s="114"/>
      <c r="S121" s="114"/>
      <c r="T121" s="114"/>
      <c r="U121" s="114"/>
      <c r="V121" s="114"/>
      <c r="W121" s="114"/>
      <c r="X121" s="114"/>
      <c r="Y121" s="114"/>
    </row>
    <row r="122" spans="4:43" x14ac:dyDescent="0.25">
      <c r="E122" s="60"/>
      <c r="F122" s="113" t="s">
        <v>252</v>
      </c>
      <c r="G122" s="113" t="s">
        <v>251</v>
      </c>
      <c r="J122" s="114"/>
      <c r="K122" s="114"/>
      <c r="L122" s="114"/>
      <c r="M122" s="114"/>
      <c r="N122" s="436">
        <v>0</v>
      </c>
      <c r="O122" s="436">
        <v>0</v>
      </c>
      <c r="P122" s="436">
        <v>0</v>
      </c>
      <c r="Q122" s="114"/>
      <c r="R122" s="114"/>
      <c r="S122" s="114"/>
      <c r="T122" s="114"/>
      <c r="U122" s="114"/>
      <c r="V122" s="114"/>
      <c r="W122" s="114"/>
      <c r="X122" s="114"/>
      <c r="Y122" s="114"/>
    </row>
    <row r="123" spans="4:43" x14ac:dyDescent="0.25">
      <c r="E123" s="60"/>
      <c r="F123" s="115" t="s">
        <v>253</v>
      </c>
      <c r="G123" s="115" t="s">
        <v>254</v>
      </c>
      <c r="H123" s="91"/>
      <c r="I123" s="91"/>
      <c r="J123" s="116"/>
      <c r="K123" s="116"/>
      <c r="L123" s="116"/>
      <c r="M123" s="116"/>
      <c r="N123" s="437">
        <v>0</v>
      </c>
      <c r="O123" s="437">
        <v>0</v>
      </c>
      <c r="P123" s="437">
        <v>0</v>
      </c>
      <c r="Q123" s="116"/>
      <c r="R123" s="116"/>
      <c r="S123" s="116"/>
      <c r="T123" s="437">
        <v>0.41199999999999992</v>
      </c>
      <c r="U123" s="116"/>
      <c r="V123" s="437">
        <v>0</v>
      </c>
      <c r="W123" s="116"/>
      <c r="X123" s="437">
        <v>0</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943</v>
      </c>
      <c r="G125" s="46"/>
    </row>
    <row r="126" spans="4:43" x14ac:dyDescent="0.25">
      <c r="E126" s="60"/>
      <c r="F126" s="111" t="s">
        <v>247</v>
      </c>
      <c r="G126" s="111" t="s">
        <v>207</v>
      </c>
      <c r="H126" s="90"/>
      <c r="I126" s="90"/>
      <c r="J126" s="435">
        <v>31822.604696478476</v>
      </c>
      <c r="K126" s="112"/>
      <c r="L126" s="435">
        <v>272.59767908914301</v>
      </c>
      <c r="M126" s="112"/>
      <c r="N126" s="435">
        <v>1060.623</v>
      </c>
      <c r="O126" s="435">
        <v>0</v>
      </c>
      <c r="P126" s="435">
        <v>935.44699999999989</v>
      </c>
      <c r="Q126" s="435">
        <v>18.416884893455101</v>
      </c>
      <c r="R126" s="112"/>
      <c r="S126" s="112"/>
      <c r="T126" s="112"/>
      <c r="U126" s="112"/>
      <c r="V126" s="112"/>
      <c r="W126" s="112"/>
      <c r="X126" s="112"/>
      <c r="Y126" s="112"/>
    </row>
    <row r="127" spans="4:43" x14ac:dyDescent="0.25">
      <c r="E127" s="60"/>
      <c r="F127" s="113" t="s">
        <v>248</v>
      </c>
      <c r="G127" s="113" t="s">
        <v>207</v>
      </c>
      <c r="J127" s="436">
        <v>112500.30860353298</v>
      </c>
      <c r="K127" s="114"/>
      <c r="L127" s="436">
        <v>1413.8117922750191</v>
      </c>
      <c r="M127" s="121"/>
      <c r="N127" s="436">
        <v>4602.2050000000008</v>
      </c>
      <c r="O127" s="436">
        <v>0</v>
      </c>
      <c r="P127" s="436">
        <v>4238.0400000000009</v>
      </c>
      <c r="Q127" s="436">
        <v>221.81066970532819</v>
      </c>
      <c r="R127" s="114"/>
      <c r="S127" s="114"/>
      <c r="T127" s="114"/>
      <c r="U127" s="114"/>
      <c r="V127" s="114"/>
      <c r="W127" s="114"/>
      <c r="X127" s="114"/>
      <c r="Y127" s="114"/>
    </row>
    <row r="128" spans="4:43" x14ac:dyDescent="0.25">
      <c r="E128" s="60"/>
      <c r="F128" s="113" t="s">
        <v>249</v>
      </c>
      <c r="G128" s="113" t="s">
        <v>207</v>
      </c>
      <c r="J128" s="436">
        <v>102434.88722672098</v>
      </c>
      <c r="K128" s="114"/>
      <c r="L128" s="436">
        <v>1123.3285139185232</v>
      </c>
      <c r="M128" s="121"/>
      <c r="N128" s="436">
        <v>4547.0809999999992</v>
      </c>
      <c r="O128" s="436">
        <v>0</v>
      </c>
      <c r="P128" s="436">
        <v>4606.8730000000014</v>
      </c>
      <c r="Q128" s="436">
        <v>261.40423687505682</v>
      </c>
      <c r="R128" s="114"/>
      <c r="S128" s="114"/>
      <c r="T128" s="114"/>
      <c r="U128" s="114"/>
      <c r="V128" s="114"/>
      <c r="W128" s="114"/>
      <c r="X128" s="114"/>
      <c r="Y128" s="114"/>
    </row>
    <row r="129" spans="5:42" x14ac:dyDescent="0.25">
      <c r="E129" s="60"/>
      <c r="F129" s="113" t="s">
        <v>212</v>
      </c>
      <c r="G129" s="113" t="s">
        <v>212</v>
      </c>
      <c r="J129" s="436">
        <v>94595</v>
      </c>
      <c r="K129" s="114"/>
      <c r="L129" s="436">
        <v>628</v>
      </c>
      <c r="M129" s="121"/>
      <c r="N129" s="436">
        <v>91</v>
      </c>
      <c r="O129" s="436">
        <v>0</v>
      </c>
      <c r="P129" s="436">
        <v>9</v>
      </c>
      <c r="Q129" s="436">
        <v>54</v>
      </c>
      <c r="R129" s="114"/>
      <c r="S129" s="114"/>
      <c r="T129" s="114"/>
      <c r="U129" s="114"/>
      <c r="V129" s="114"/>
      <c r="W129" s="114"/>
      <c r="X129" s="114"/>
      <c r="Y129" s="114"/>
    </row>
    <row r="130" spans="5:42" x14ac:dyDescent="0.25">
      <c r="E130" s="60"/>
      <c r="F130" s="113" t="s">
        <v>250</v>
      </c>
      <c r="G130" s="113" t="s">
        <v>251</v>
      </c>
      <c r="J130" s="114"/>
      <c r="K130" s="114"/>
      <c r="L130" s="114"/>
      <c r="M130" s="121"/>
      <c r="N130" s="436">
        <v>5141</v>
      </c>
      <c r="O130" s="436">
        <v>0</v>
      </c>
      <c r="P130" s="436">
        <v>2743</v>
      </c>
      <c r="Q130" s="114"/>
      <c r="R130" s="114"/>
      <c r="S130" s="114"/>
      <c r="T130" s="114"/>
      <c r="U130" s="114"/>
      <c r="V130" s="114"/>
      <c r="W130" s="114"/>
      <c r="X130" s="114"/>
      <c r="Y130" s="114"/>
    </row>
    <row r="131" spans="5:42" x14ac:dyDescent="0.25">
      <c r="E131" s="60"/>
      <c r="F131" s="113" t="s">
        <v>252</v>
      </c>
      <c r="G131" s="113" t="s">
        <v>251</v>
      </c>
      <c r="J131" s="114"/>
      <c r="K131" s="114"/>
      <c r="L131" s="114"/>
      <c r="M131" s="121"/>
      <c r="N131" s="436">
        <v>1552</v>
      </c>
      <c r="O131" s="436">
        <v>0</v>
      </c>
      <c r="P131" s="436">
        <v>0</v>
      </c>
      <c r="Q131" s="114"/>
      <c r="R131" s="114"/>
      <c r="S131" s="114"/>
      <c r="T131" s="114"/>
      <c r="U131" s="114"/>
      <c r="V131" s="114"/>
      <c r="W131" s="114"/>
      <c r="X131" s="114"/>
      <c r="Y131" s="114"/>
    </row>
    <row r="132" spans="5:42" x14ac:dyDescent="0.25">
      <c r="E132" s="60"/>
      <c r="F132" s="115" t="s">
        <v>253</v>
      </c>
      <c r="G132" s="115" t="s">
        <v>254</v>
      </c>
      <c r="H132" s="91"/>
      <c r="I132" s="91"/>
      <c r="J132" s="116"/>
      <c r="K132" s="116"/>
      <c r="L132" s="116"/>
      <c r="M132" s="116"/>
      <c r="N132" s="437">
        <v>863.53200000000004</v>
      </c>
      <c r="O132" s="437">
        <v>0</v>
      </c>
      <c r="P132" s="437">
        <v>836.62400000000002</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944</v>
      </c>
      <c r="G134" s="46"/>
    </row>
    <row r="135" spans="5:42" x14ac:dyDescent="0.25">
      <c r="E135" s="60"/>
      <c r="F135" s="111" t="s">
        <v>247</v>
      </c>
      <c r="G135" s="111" t="s">
        <v>207</v>
      </c>
      <c r="H135" s="90"/>
      <c r="I135" s="90"/>
      <c r="J135" s="112"/>
      <c r="K135" s="112"/>
      <c r="L135" s="435">
        <v>376.95201120233037</v>
      </c>
      <c r="M135" s="112"/>
      <c r="N135" s="435">
        <v>2639.4720000000002</v>
      </c>
      <c r="O135" s="435">
        <v>116.745</v>
      </c>
      <c r="P135" s="435">
        <v>1159.1999999999998</v>
      </c>
      <c r="Q135" s="112"/>
      <c r="R135" s="112"/>
      <c r="S135" s="112"/>
      <c r="T135" s="112"/>
      <c r="U135" s="112"/>
      <c r="V135" s="112"/>
      <c r="W135" s="112"/>
      <c r="X135" s="112"/>
      <c r="Y135" s="112"/>
    </row>
    <row r="136" spans="5:42" x14ac:dyDescent="0.25">
      <c r="E136" s="60"/>
      <c r="F136" s="113" t="s">
        <v>248</v>
      </c>
      <c r="G136" s="113" t="s">
        <v>207</v>
      </c>
      <c r="J136" s="114"/>
      <c r="K136" s="114"/>
      <c r="L136" s="436">
        <v>1952.3763872739405</v>
      </c>
      <c r="M136" s="114"/>
      <c r="N136" s="436">
        <v>11199.531000000001</v>
      </c>
      <c r="O136" s="436">
        <v>484.83300000000008</v>
      </c>
      <c r="P136" s="436">
        <v>5012.5640000000003</v>
      </c>
      <c r="Q136" s="114"/>
      <c r="R136" s="114"/>
      <c r="S136" s="114"/>
      <c r="T136" s="114"/>
      <c r="U136" s="114"/>
      <c r="V136" s="114"/>
      <c r="W136" s="114"/>
      <c r="X136" s="114"/>
      <c r="Y136" s="114"/>
    </row>
    <row r="137" spans="5:42" x14ac:dyDescent="0.25">
      <c r="E137" s="60"/>
      <c r="F137" s="113" t="s">
        <v>249</v>
      </c>
      <c r="G137" s="113" t="s">
        <v>207</v>
      </c>
      <c r="J137" s="114"/>
      <c r="K137" s="114"/>
      <c r="L137" s="436">
        <v>1536.2863492087945</v>
      </c>
      <c r="M137" s="114"/>
      <c r="N137" s="436">
        <v>9443.5720000000001</v>
      </c>
      <c r="O137" s="436">
        <v>504.34399999999999</v>
      </c>
      <c r="P137" s="436">
        <v>5478.5059999999994</v>
      </c>
      <c r="Q137" s="114"/>
      <c r="R137" s="114"/>
      <c r="S137" s="114"/>
      <c r="T137" s="114"/>
      <c r="U137" s="114"/>
      <c r="V137" s="114"/>
      <c r="W137" s="114"/>
      <c r="X137" s="114"/>
      <c r="Y137" s="114"/>
    </row>
    <row r="138" spans="5:42" x14ac:dyDescent="0.25">
      <c r="E138" s="60"/>
      <c r="F138" s="113" t="s">
        <v>212</v>
      </c>
      <c r="G138" s="113" t="s">
        <v>212</v>
      </c>
      <c r="J138" s="114"/>
      <c r="K138" s="114"/>
      <c r="L138" s="436">
        <v>534</v>
      </c>
      <c r="M138" s="114"/>
      <c r="N138" s="436">
        <v>157</v>
      </c>
      <c r="O138" s="436">
        <v>3</v>
      </c>
      <c r="P138" s="436">
        <v>6</v>
      </c>
      <c r="Q138" s="114"/>
      <c r="R138" s="114"/>
      <c r="S138" s="114"/>
      <c r="T138" s="114"/>
      <c r="U138" s="114"/>
      <c r="V138" s="114"/>
      <c r="W138" s="114"/>
      <c r="X138" s="114"/>
      <c r="Y138" s="114"/>
    </row>
    <row r="139" spans="5:42" x14ac:dyDescent="0.25">
      <c r="E139" s="60"/>
      <c r="F139" s="113" t="s">
        <v>250</v>
      </c>
      <c r="G139" s="113" t="s">
        <v>251</v>
      </c>
      <c r="J139" s="114"/>
      <c r="K139" s="114"/>
      <c r="L139" s="114"/>
      <c r="M139" s="114"/>
      <c r="N139" s="436">
        <v>18185</v>
      </c>
      <c r="O139" s="436">
        <v>327</v>
      </c>
      <c r="P139" s="436">
        <v>3695</v>
      </c>
      <c r="Q139" s="114"/>
      <c r="R139" s="114"/>
      <c r="S139" s="114"/>
      <c r="T139" s="114"/>
      <c r="U139" s="114"/>
      <c r="V139" s="114"/>
      <c r="W139" s="114"/>
      <c r="X139" s="114"/>
      <c r="Y139" s="114"/>
    </row>
    <row r="140" spans="5:42" x14ac:dyDescent="0.25">
      <c r="E140" s="60"/>
      <c r="F140" s="113" t="s">
        <v>252</v>
      </c>
      <c r="G140" s="113" t="s">
        <v>251</v>
      </c>
      <c r="J140" s="114"/>
      <c r="K140" s="114"/>
      <c r="L140" s="114"/>
      <c r="M140" s="114"/>
      <c r="N140" s="436">
        <v>8</v>
      </c>
      <c r="O140" s="436">
        <v>0</v>
      </c>
      <c r="P140" s="436">
        <v>241</v>
      </c>
      <c r="Q140" s="114"/>
      <c r="R140" s="114"/>
      <c r="S140" s="114"/>
      <c r="T140" s="114"/>
      <c r="U140" s="114"/>
      <c r="V140" s="114"/>
      <c r="W140" s="114"/>
      <c r="X140" s="114"/>
      <c r="Y140" s="114"/>
    </row>
    <row r="141" spans="5:42" x14ac:dyDescent="0.25">
      <c r="E141" s="60"/>
      <c r="F141" s="115" t="s">
        <v>253</v>
      </c>
      <c r="G141" s="115" t="s">
        <v>254</v>
      </c>
      <c r="H141" s="91"/>
      <c r="I141" s="91"/>
      <c r="J141" s="116"/>
      <c r="K141" s="116"/>
      <c r="L141" s="116"/>
      <c r="M141" s="116"/>
      <c r="N141" s="437">
        <v>1035.95</v>
      </c>
      <c r="O141" s="437">
        <v>20.306000000000001</v>
      </c>
      <c r="P141" s="437">
        <v>0.19400000000000001</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945</v>
      </c>
      <c r="G143" s="46"/>
    </row>
    <row r="144" spans="5:42" x14ac:dyDescent="0.25">
      <c r="E144" s="60"/>
      <c r="F144" s="111" t="s">
        <v>247</v>
      </c>
      <c r="G144" s="111" t="s">
        <v>207</v>
      </c>
      <c r="H144" s="90"/>
      <c r="I144" s="90"/>
      <c r="J144" s="112"/>
      <c r="K144" s="112"/>
      <c r="L144" s="435">
        <v>551.49287055389118</v>
      </c>
      <c r="M144" s="112"/>
      <c r="N144" s="435">
        <v>3418.0200000000004</v>
      </c>
      <c r="O144" s="435">
        <v>49.131</v>
      </c>
      <c r="P144" s="435">
        <v>1527.7200000000003</v>
      </c>
      <c r="Q144" s="112"/>
      <c r="R144" s="112"/>
      <c r="S144" s="112"/>
      <c r="T144" s="112"/>
      <c r="U144" s="112"/>
      <c r="V144" s="112"/>
      <c r="W144" s="112"/>
      <c r="X144" s="112"/>
      <c r="Y144" s="112"/>
    </row>
    <row r="145" spans="5:42" x14ac:dyDescent="0.25">
      <c r="E145" s="60"/>
      <c r="F145" s="113" t="s">
        <v>248</v>
      </c>
      <c r="G145" s="113" t="s">
        <v>207</v>
      </c>
      <c r="J145" s="114"/>
      <c r="K145" s="114"/>
      <c r="L145" s="436">
        <v>2847.8755443340997</v>
      </c>
      <c r="M145" s="114"/>
      <c r="N145" s="436">
        <v>14756.190999999999</v>
      </c>
      <c r="O145" s="436">
        <v>219.785</v>
      </c>
      <c r="P145" s="436">
        <v>6786.5599999999995</v>
      </c>
      <c r="Q145" s="114"/>
      <c r="R145" s="114"/>
      <c r="S145" s="114"/>
      <c r="T145" s="114"/>
      <c r="U145" s="114"/>
      <c r="V145" s="114"/>
      <c r="W145" s="114"/>
      <c r="X145" s="114"/>
      <c r="Y145" s="114"/>
    </row>
    <row r="146" spans="5:42" x14ac:dyDescent="0.25">
      <c r="E146" s="60"/>
      <c r="F146" s="113" t="s">
        <v>249</v>
      </c>
      <c r="G146" s="113" t="s">
        <v>207</v>
      </c>
      <c r="J146" s="114"/>
      <c r="K146" s="114"/>
      <c r="L146" s="436">
        <v>2278.9945095773928</v>
      </c>
      <c r="M146" s="114"/>
      <c r="N146" s="436">
        <v>13669.217000000001</v>
      </c>
      <c r="O146" s="436">
        <v>257.81100000000004</v>
      </c>
      <c r="P146" s="436">
        <v>8352.4259999999995</v>
      </c>
      <c r="Q146" s="114"/>
      <c r="R146" s="114"/>
      <c r="S146" s="114"/>
      <c r="T146" s="114"/>
      <c r="U146" s="114"/>
      <c r="V146" s="114"/>
      <c r="W146" s="114"/>
      <c r="X146" s="114"/>
      <c r="Y146" s="114"/>
    </row>
    <row r="147" spans="5:42" x14ac:dyDescent="0.25">
      <c r="E147" s="60"/>
      <c r="F147" s="113" t="s">
        <v>212</v>
      </c>
      <c r="G147" s="113" t="s">
        <v>212</v>
      </c>
      <c r="J147" s="114"/>
      <c r="K147" s="114"/>
      <c r="L147" s="436">
        <v>369</v>
      </c>
      <c r="M147" s="114"/>
      <c r="N147" s="436">
        <v>106</v>
      </c>
      <c r="O147" s="436">
        <v>1</v>
      </c>
      <c r="P147" s="436">
        <v>7</v>
      </c>
      <c r="Q147" s="114"/>
      <c r="R147" s="114"/>
      <c r="S147" s="114"/>
      <c r="T147" s="114"/>
      <c r="U147" s="114"/>
      <c r="V147" s="114"/>
      <c r="W147" s="114"/>
      <c r="X147" s="114"/>
      <c r="Y147" s="114"/>
    </row>
    <row r="148" spans="5:42" x14ac:dyDescent="0.25">
      <c r="E148" s="60"/>
      <c r="F148" s="113" t="s">
        <v>250</v>
      </c>
      <c r="G148" s="113" t="s">
        <v>251</v>
      </c>
      <c r="J148" s="114"/>
      <c r="K148" s="114"/>
      <c r="L148" s="114"/>
      <c r="M148" s="114"/>
      <c r="N148" s="436">
        <v>19461</v>
      </c>
      <c r="O148" s="436">
        <v>225</v>
      </c>
      <c r="P148" s="436">
        <v>9600</v>
      </c>
      <c r="Q148" s="114"/>
      <c r="R148" s="114"/>
      <c r="S148" s="114"/>
      <c r="T148" s="114"/>
      <c r="U148" s="114"/>
      <c r="V148" s="114"/>
      <c r="W148" s="114"/>
      <c r="X148" s="114"/>
      <c r="Y148" s="114"/>
    </row>
    <row r="149" spans="5:42" x14ac:dyDescent="0.25">
      <c r="E149" s="60"/>
      <c r="F149" s="113" t="s">
        <v>252</v>
      </c>
      <c r="G149" s="113" t="s">
        <v>251</v>
      </c>
      <c r="J149" s="114"/>
      <c r="K149" s="114"/>
      <c r="L149" s="114"/>
      <c r="M149" s="114"/>
      <c r="N149" s="436">
        <v>8.3333333333333339</v>
      </c>
      <c r="O149" s="436">
        <v>0</v>
      </c>
      <c r="P149" s="436">
        <v>0</v>
      </c>
      <c r="Q149" s="114"/>
      <c r="R149" s="114"/>
      <c r="S149" s="114"/>
      <c r="T149" s="114"/>
      <c r="U149" s="114"/>
      <c r="V149" s="114"/>
      <c r="W149" s="114"/>
      <c r="X149" s="114"/>
      <c r="Y149" s="114"/>
    </row>
    <row r="150" spans="5:42" x14ac:dyDescent="0.25">
      <c r="E150" s="60"/>
      <c r="F150" s="115" t="s">
        <v>253</v>
      </c>
      <c r="G150" s="115" t="s">
        <v>254</v>
      </c>
      <c r="H150" s="91"/>
      <c r="I150" s="91"/>
      <c r="J150" s="116"/>
      <c r="K150" s="116"/>
      <c r="L150" s="116"/>
      <c r="M150" s="116"/>
      <c r="N150" s="437">
        <v>986.17600000000004</v>
      </c>
      <c r="O150" s="437">
        <v>0.104</v>
      </c>
      <c r="P150" s="437">
        <v>648.19200000000001</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946</v>
      </c>
      <c r="G152" s="46"/>
    </row>
    <row r="153" spans="5:42" x14ac:dyDescent="0.25">
      <c r="E153" s="60"/>
      <c r="F153" s="111" t="s">
        <v>247</v>
      </c>
      <c r="G153" s="111" t="s">
        <v>207</v>
      </c>
      <c r="H153" s="90"/>
      <c r="I153" s="90"/>
      <c r="J153" s="112"/>
      <c r="K153" s="112"/>
      <c r="L153" s="435">
        <v>1064.8127993051485</v>
      </c>
      <c r="M153" s="112"/>
      <c r="N153" s="435">
        <v>8785.0440000000017</v>
      </c>
      <c r="O153" s="435">
        <v>3633.603000000001</v>
      </c>
      <c r="P153" s="435">
        <v>1498.6760000000002</v>
      </c>
      <c r="Q153" s="112"/>
      <c r="R153" s="112"/>
      <c r="S153" s="112"/>
      <c r="T153" s="112"/>
      <c r="U153" s="112"/>
      <c r="V153" s="112"/>
      <c r="W153" s="112"/>
      <c r="X153" s="112"/>
      <c r="Y153" s="112"/>
    </row>
    <row r="154" spans="5:42" x14ac:dyDescent="0.25">
      <c r="E154" s="60"/>
      <c r="F154" s="113" t="s">
        <v>248</v>
      </c>
      <c r="G154" s="113" t="s">
        <v>207</v>
      </c>
      <c r="J154" s="114"/>
      <c r="K154" s="114"/>
      <c r="L154" s="436">
        <v>5498.5045368633428</v>
      </c>
      <c r="M154" s="114"/>
      <c r="N154" s="436">
        <v>39880.716999999997</v>
      </c>
      <c r="O154" s="436">
        <v>16219.2</v>
      </c>
      <c r="P154" s="436">
        <v>7252.5439999999999</v>
      </c>
      <c r="Q154" s="114"/>
      <c r="R154" s="114"/>
      <c r="S154" s="114"/>
      <c r="T154" s="114"/>
      <c r="U154" s="114"/>
      <c r="V154" s="114"/>
      <c r="W154" s="114"/>
      <c r="X154" s="114"/>
      <c r="Y154" s="114"/>
    </row>
    <row r="155" spans="5:42" x14ac:dyDescent="0.25">
      <c r="E155" s="60"/>
      <c r="F155" s="113" t="s">
        <v>249</v>
      </c>
      <c r="G155" s="113" t="s">
        <v>207</v>
      </c>
      <c r="J155" s="114"/>
      <c r="K155" s="114"/>
      <c r="L155" s="436">
        <v>4536.1146177521596</v>
      </c>
      <c r="M155" s="114"/>
      <c r="N155" s="436">
        <v>36000.575000000004</v>
      </c>
      <c r="O155" s="436">
        <v>15138.128000000002</v>
      </c>
      <c r="P155" s="436">
        <v>10090.327000000001</v>
      </c>
      <c r="Q155" s="114"/>
      <c r="R155" s="114"/>
      <c r="S155" s="114"/>
      <c r="T155" s="114"/>
      <c r="U155" s="114"/>
      <c r="V155" s="114"/>
      <c r="W155" s="114"/>
      <c r="X155" s="114"/>
      <c r="Y155" s="114"/>
    </row>
    <row r="156" spans="5:42" x14ac:dyDescent="0.25">
      <c r="E156" s="60"/>
      <c r="F156" s="113" t="s">
        <v>212</v>
      </c>
      <c r="G156" s="113" t="s">
        <v>212</v>
      </c>
      <c r="J156" s="114"/>
      <c r="K156" s="114"/>
      <c r="L156" s="436">
        <v>292</v>
      </c>
      <c r="M156" s="114"/>
      <c r="N156" s="436">
        <v>172</v>
      </c>
      <c r="O156" s="436">
        <v>41</v>
      </c>
      <c r="P156" s="436">
        <v>8</v>
      </c>
      <c r="Q156" s="114"/>
      <c r="R156" s="114"/>
      <c r="S156" s="114"/>
      <c r="T156" s="114"/>
      <c r="U156" s="114"/>
      <c r="V156" s="114"/>
      <c r="W156" s="114"/>
      <c r="X156" s="114"/>
      <c r="Y156" s="114"/>
    </row>
    <row r="157" spans="5:42" x14ac:dyDescent="0.25">
      <c r="E157" s="60"/>
      <c r="F157" s="113" t="s">
        <v>250</v>
      </c>
      <c r="G157" s="113" t="s">
        <v>251</v>
      </c>
      <c r="J157" s="114"/>
      <c r="K157" s="114"/>
      <c r="L157" s="114"/>
      <c r="M157" s="114"/>
      <c r="N157" s="436">
        <v>78990</v>
      </c>
      <c r="O157" s="436">
        <v>27059</v>
      </c>
      <c r="P157" s="436">
        <v>23200</v>
      </c>
      <c r="Q157" s="114"/>
      <c r="R157" s="114"/>
      <c r="S157" s="114"/>
      <c r="T157" s="114"/>
      <c r="U157" s="114"/>
      <c r="V157" s="114"/>
      <c r="W157" s="114"/>
      <c r="X157" s="114"/>
      <c r="Y157" s="114"/>
    </row>
    <row r="158" spans="5:42" x14ac:dyDescent="0.25">
      <c r="E158" s="60"/>
      <c r="F158" s="113" t="s">
        <v>252</v>
      </c>
      <c r="G158" s="113" t="s">
        <v>251</v>
      </c>
      <c r="J158" s="114"/>
      <c r="K158" s="114"/>
      <c r="L158" s="114"/>
      <c r="M158" s="114"/>
      <c r="N158" s="436">
        <v>2.6666666666666665</v>
      </c>
      <c r="O158" s="436">
        <v>0</v>
      </c>
      <c r="P158" s="436">
        <v>0</v>
      </c>
      <c r="Q158" s="114"/>
      <c r="R158" s="114"/>
      <c r="S158" s="114"/>
      <c r="T158" s="114"/>
      <c r="U158" s="114"/>
      <c r="V158" s="114"/>
      <c r="W158" s="114"/>
      <c r="X158" s="114"/>
      <c r="Y158" s="114"/>
    </row>
    <row r="159" spans="5:42" x14ac:dyDescent="0.25">
      <c r="E159" s="60"/>
      <c r="F159" s="115" t="s">
        <v>253</v>
      </c>
      <c r="G159" s="115" t="s">
        <v>254</v>
      </c>
      <c r="H159" s="91"/>
      <c r="I159" s="91"/>
      <c r="J159" s="116"/>
      <c r="K159" s="116"/>
      <c r="L159" s="116"/>
      <c r="M159" s="116"/>
      <c r="N159" s="437">
        <v>5234.7879999999996</v>
      </c>
      <c r="O159" s="437">
        <v>1570.232</v>
      </c>
      <c r="P159" s="437">
        <v>262.87200000000001</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E161" s="60" t="s">
        <v>882</v>
      </c>
      <c r="G161" s="46" t="s">
        <v>212</v>
      </c>
      <c r="I161" t="s">
        <v>154</v>
      </c>
      <c r="J161" s="459">
        <v>3363</v>
      </c>
      <c r="K161" s="459">
        <v>0</v>
      </c>
      <c r="L161" s="459">
        <v>82</v>
      </c>
      <c r="M161" s="459">
        <v>0</v>
      </c>
      <c r="N161" s="459">
        <v>61</v>
      </c>
      <c r="O161" s="459">
        <v>0</v>
      </c>
      <c r="P161" s="459">
        <v>6</v>
      </c>
      <c r="Q161" s="459">
        <v>27</v>
      </c>
      <c r="R161" s="459">
        <v>4</v>
      </c>
      <c r="S161" s="459">
        <v>0</v>
      </c>
      <c r="T161" s="459">
        <v>0</v>
      </c>
      <c r="U161" s="459">
        <v>0</v>
      </c>
      <c r="V161" s="459">
        <v>0</v>
      </c>
      <c r="W161" s="459">
        <v>0</v>
      </c>
      <c r="X161" s="459">
        <v>0</v>
      </c>
      <c r="Y161" s="459">
        <v>0</v>
      </c>
      <c r="AQ161" t="s">
        <v>898</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1117</v>
      </c>
      <c r="G165" s="46"/>
      <c r="I165" t="s">
        <v>154</v>
      </c>
      <c r="AQ165" t="s">
        <v>1129</v>
      </c>
    </row>
    <row r="166" spans="3:43" x14ac:dyDescent="0.25">
      <c r="D166" s="71" t="s">
        <v>1118</v>
      </c>
      <c r="G166" s="46"/>
    </row>
    <row r="167" spans="3:43" x14ac:dyDescent="0.25">
      <c r="G167" s="46"/>
    </row>
    <row r="168" spans="3:43" x14ac:dyDescent="0.25">
      <c r="E168" s="60" t="s">
        <v>978</v>
      </c>
      <c r="G168" s="46"/>
      <c r="J168" s="110" t="s">
        <v>969</v>
      </c>
      <c r="K168" s="110" t="s">
        <v>974</v>
      </c>
      <c r="L168" s="110" t="s">
        <v>975</v>
      </c>
      <c r="M168" s="110" t="s">
        <v>976</v>
      </c>
      <c r="N168" s="110" t="s">
        <v>977</v>
      </c>
    </row>
    <row r="169" spans="3:43" x14ac:dyDescent="0.25">
      <c r="E169" s="60"/>
      <c r="F169" s="111" t="s">
        <v>247</v>
      </c>
      <c r="G169" s="111" t="s">
        <v>167</v>
      </c>
      <c r="H169" s="123"/>
      <c r="I169" s="90"/>
      <c r="J169" s="439">
        <v>0</v>
      </c>
      <c r="K169" s="439">
        <v>8.6754374311875562E-2</v>
      </c>
      <c r="L169" s="439">
        <v>0.15297665329337079</v>
      </c>
      <c r="M169" s="439">
        <v>0.18755462380973875</v>
      </c>
      <c r="N169" s="439">
        <v>0.57271434858501491</v>
      </c>
      <c r="S169" s="460"/>
    </row>
    <row r="170" spans="3:43" x14ac:dyDescent="0.25">
      <c r="E170" s="60"/>
      <c r="F170" s="124" t="s">
        <v>248</v>
      </c>
      <c r="G170" s="124" t="s">
        <v>167</v>
      </c>
      <c r="H170" s="125"/>
      <c r="J170" s="440">
        <v>0</v>
      </c>
      <c r="K170" s="440">
        <f>K169</f>
        <v>8.6754374311875562E-2</v>
      </c>
      <c r="L170" s="440">
        <f t="shared" ref="L170:N171" si="0">L169</f>
        <v>0.15297665329337079</v>
      </c>
      <c r="M170" s="440">
        <f t="shared" si="0"/>
        <v>0.18755462380973875</v>
      </c>
      <c r="N170" s="440">
        <f t="shared" si="0"/>
        <v>0.57271434858501491</v>
      </c>
      <c r="S170" s="460"/>
    </row>
    <row r="171" spans="3:43" x14ac:dyDescent="0.25">
      <c r="E171" s="60"/>
      <c r="F171" s="115" t="s">
        <v>249</v>
      </c>
      <c r="G171" s="115" t="s">
        <v>167</v>
      </c>
      <c r="H171" s="126"/>
      <c r="I171" s="91"/>
      <c r="J171" s="441">
        <v>0</v>
      </c>
      <c r="K171" s="441">
        <f>K170</f>
        <v>8.6754374311875562E-2</v>
      </c>
      <c r="L171" s="441">
        <f t="shared" si="0"/>
        <v>0.15297665329337079</v>
      </c>
      <c r="M171" s="441">
        <f t="shared" si="0"/>
        <v>0.18755462380973875</v>
      </c>
      <c r="N171" s="441">
        <f t="shared" si="0"/>
        <v>0.57271434858501491</v>
      </c>
      <c r="S171" s="460"/>
    </row>
    <row r="172" spans="3:43" x14ac:dyDescent="0.25">
      <c r="E172" s="117"/>
      <c r="F172" s="118"/>
      <c r="G172" s="118"/>
      <c r="H172" s="14"/>
      <c r="I172" s="14"/>
      <c r="J172" s="119"/>
      <c r="K172" s="119"/>
      <c r="L172" s="119"/>
      <c r="M172" s="119"/>
      <c r="N172" s="119"/>
      <c r="S172" s="460"/>
    </row>
    <row r="173" spans="3:43" x14ac:dyDescent="0.25">
      <c r="E173" s="60" t="s">
        <v>979</v>
      </c>
      <c r="G173" s="46"/>
      <c r="J173" s="110" t="s">
        <v>969</v>
      </c>
      <c r="K173" s="110" t="s">
        <v>974</v>
      </c>
      <c r="L173" s="110" t="s">
        <v>975</v>
      </c>
      <c r="M173" s="110" t="s">
        <v>976</v>
      </c>
      <c r="N173" s="110" t="s">
        <v>977</v>
      </c>
      <c r="S173" s="461"/>
    </row>
    <row r="174" spans="3:43" x14ac:dyDescent="0.25">
      <c r="E174" s="60"/>
      <c r="F174" s="111" t="s">
        <v>247</v>
      </c>
      <c r="G174" s="111" t="s">
        <v>167</v>
      </c>
      <c r="H174" s="123"/>
      <c r="I174" s="90"/>
      <c r="J174" s="439">
        <f>J169</f>
        <v>0</v>
      </c>
      <c r="K174" s="439">
        <v>0.20735150389910206</v>
      </c>
      <c r="L174" s="439">
        <v>0.28844122530114541</v>
      </c>
      <c r="M174" s="439">
        <v>0.19297777529368429</v>
      </c>
      <c r="N174" s="439">
        <v>0.3112294955060681</v>
      </c>
      <c r="S174" s="460"/>
    </row>
    <row r="175" spans="3:43" x14ac:dyDescent="0.25">
      <c r="E175" s="60"/>
      <c r="F175" s="124" t="s">
        <v>248</v>
      </c>
      <c r="G175" s="124" t="s">
        <v>167</v>
      </c>
      <c r="H175" s="125"/>
      <c r="J175" s="440">
        <f>J170</f>
        <v>0</v>
      </c>
      <c r="K175" s="440">
        <f>K174</f>
        <v>0.20735150389910206</v>
      </c>
      <c r="L175" s="440">
        <f t="shared" ref="L175:N176" si="1">L174</f>
        <v>0.28844122530114541</v>
      </c>
      <c r="M175" s="440">
        <f t="shared" si="1"/>
        <v>0.19297777529368429</v>
      </c>
      <c r="N175" s="440">
        <f t="shared" si="1"/>
        <v>0.3112294955060681</v>
      </c>
      <c r="S175" s="460"/>
    </row>
    <row r="176" spans="3:43" x14ac:dyDescent="0.25">
      <c r="E176" s="60"/>
      <c r="F176" s="115" t="s">
        <v>249</v>
      </c>
      <c r="G176" s="115" t="s">
        <v>167</v>
      </c>
      <c r="H176" s="126"/>
      <c r="I176" s="91"/>
      <c r="J176" s="441">
        <f>J171</f>
        <v>0</v>
      </c>
      <c r="K176" s="441">
        <f>K175</f>
        <v>0.20735150389910206</v>
      </c>
      <c r="L176" s="441">
        <f t="shared" si="1"/>
        <v>0.28844122530114541</v>
      </c>
      <c r="M176" s="441">
        <f t="shared" si="1"/>
        <v>0.19297777529368429</v>
      </c>
      <c r="N176" s="441">
        <f t="shared" si="1"/>
        <v>0.3112294955060681</v>
      </c>
      <c r="S176" s="460"/>
    </row>
    <row r="177" spans="3:43" x14ac:dyDescent="0.25">
      <c r="E177" s="117"/>
      <c r="F177" s="118"/>
      <c r="G177" s="118"/>
      <c r="H177" s="14"/>
      <c r="I177" s="14"/>
      <c r="J177" s="119"/>
      <c r="K177" s="119"/>
      <c r="L177" s="119"/>
      <c r="M177" s="119"/>
      <c r="N177" s="119"/>
      <c r="S177" s="460"/>
    </row>
    <row r="178" spans="3:43" x14ac:dyDescent="0.25">
      <c r="E178" s="60" t="s">
        <v>980</v>
      </c>
      <c r="G178" s="46"/>
      <c r="J178" s="110" t="s">
        <v>969</v>
      </c>
      <c r="K178" s="110" t="s">
        <v>974</v>
      </c>
      <c r="L178" s="110" t="s">
        <v>975</v>
      </c>
      <c r="M178" s="110" t="s">
        <v>976</v>
      </c>
      <c r="N178" s="110" t="s">
        <v>977</v>
      </c>
      <c r="S178" s="461"/>
    </row>
    <row r="179" spans="3:43" x14ac:dyDescent="0.25">
      <c r="E179" s="60"/>
      <c r="F179" s="111" t="s">
        <v>247</v>
      </c>
      <c r="G179" s="111" t="s">
        <v>167</v>
      </c>
      <c r="H179" s="123"/>
      <c r="I179" s="90"/>
      <c r="J179" s="439">
        <f>J174</f>
        <v>0</v>
      </c>
      <c r="K179" s="439">
        <v>0.11980217034588897</v>
      </c>
      <c r="L179" s="439">
        <v>0.16482285498487639</v>
      </c>
      <c r="M179" s="439">
        <v>0.24211517441336786</v>
      </c>
      <c r="N179" s="439">
        <v>0.47325980025586678</v>
      </c>
      <c r="S179" s="460"/>
    </row>
    <row r="180" spans="3:43" x14ac:dyDescent="0.25">
      <c r="E180" s="60"/>
      <c r="F180" s="124" t="s">
        <v>248</v>
      </c>
      <c r="G180" s="124" t="s">
        <v>167</v>
      </c>
      <c r="H180" s="125"/>
      <c r="J180" s="440">
        <f>J175</f>
        <v>0</v>
      </c>
      <c r="K180" s="440">
        <f>K179</f>
        <v>0.11980217034588897</v>
      </c>
      <c r="L180" s="440">
        <f t="shared" ref="L180:N181" si="2">L179</f>
        <v>0.16482285498487639</v>
      </c>
      <c r="M180" s="440">
        <f t="shared" si="2"/>
        <v>0.24211517441336786</v>
      </c>
      <c r="N180" s="440">
        <f t="shared" si="2"/>
        <v>0.47325980025586678</v>
      </c>
      <c r="S180" s="460"/>
    </row>
    <row r="181" spans="3:43" x14ac:dyDescent="0.25">
      <c r="E181" s="60"/>
      <c r="F181" s="115" t="s">
        <v>249</v>
      </c>
      <c r="G181" s="115" t="s">
        <v>167</v>
      </c>
      <c r="H181" s="126"/>
      <c r="I181" s="91"/>
      <c r="J181" s="441">
        <f>J176</f>
        <v>0</v>
      </c>
      <c r="K181" s="441">
        <f>K180</f>
        <v>0.11980217034588897</v>
      </c>
      <c r="L181" s="441">
        <f t="shared" si="2"/>
        <v>0.16482285498487639</v>
      </c>
      <c r="M181" s="441">
        <f t="shared" si="2"/>
        <v>0.24211517441336786</v>
      </c>
      <c r="N181" s="441">
        <f t="shared" si="2"/>
        <v>0.47325980025586678</v>
      </c>
      <c r="S181" s="460"/>
    </row>
    <row r="182" spans="3:43" x14ac:dyDescent="0.25">
      <c r="E182" s="117"/>
      <c r="F182" s="118"/>
      <c r="G182" s="118"/>
      <c r="H182" s="14"/>
      <c r="I182" s="14"/>
      <c r="J182" s="119"/>
      <c r="K182" s="119"/>
      <c r="L182" s="119"/>
      <c r="M182" s="119"/>
      <c r="N182" s="120"/>
      <c r="O182" s="120"/>
      <c r="P182" s="120"/>
      <c r="Q182" s="119"/>
      <c r="R182" s="119"/>
      <c r="S182" s="460"/>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258</v>
      </c>
      <c r="H185" s="92"/>
    </row>
    <row r="186" spans="3:43" x14ac:dyDescent="0.25">
      <c r="G186" s="46"/>
      <c r="I186" t="s">
        <v>154</v>
      </c>
      <c r="AQ186" t="s">
        <v>259</v>
      </c>
    </row>
    <row r="187" spans="3:43" x14ac:dyDescent="0.25">
      <c r="D187" s="100"/>
      <c r="E187" t="s">
        <v>260</v>
      </c>
      <c r="G187" t="s">
        <v>261</v>
      </c>
      <c r="H187" s="63"/>
      <c r="J187" s="436">
        <v>377.70000000000005</v>
      </c>
      <c r="K187" s="114"/>
      <c r="L187" s="436">
        <v>508.75</v>
      </c>
      <c r="M187" s="114"/>
      <c r="N187" s="436">
        <v>2380</v>
      </c>
      <c r="O187" s="436">
        <v>840</v>
      </c>
      <c r="P187" s="114"/>
      <c r="Q187" s="114"/>
      <c r="R187" s="436"/>
      <c r="S187" s="436"/>
      <c r="T187" s="436"/>
      <c r="U187" s="436"/>
      <c r="V187" s="436"/>
      <c r="W187" s="436"/>
      <c r="X187" s="114"/>
      <c r="Y187" s="114"/>
    </row>
    <row r="188" spans="3:43" x14ac:dyDescent="0.25">
      <c r="D188" s="100"/>
      <c r="E188" t="s">
        <v>262</v>
      </c>
      <c r="G188" t="s">
        <v>261</v>
      </c>
      <c r="H188" s="63"/>
      <c r="J188" s="114"/>
      <c r="K188" s="114"/>
      <c r="L188" s="114"/>
      <c r="M188" s="114"/>
      <c r="N188" s="114"/>
      <c r="O188" s="114"/>
      <c r="P188" s="436">
        <v>12718.10554</v>
      </c>
      <c r="Q188" s="114"/>
      <c r="R188" s="114"/>
      <c r="S188" s="114"/>
      <c r="T188" s="114"/>
      <c r="U188" s="114"/>
      <c r="V188" s="114"/>
      <c r="W188" s="114"/>
      <c r="X188" s="436">
        <v>9287</v>
      </c>
      <c r="Y188" s="436">
        <v>9287</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263</v>
      </c>
      <c r="G190" t="s">
        <v>264</v>
      </c>
      <c r="I190" t="s">
        <v>154</v>
      </c>
      <c r="J190" s="114"/>
      <c r="K190" s="114"/>
      <c r="L190" s="114"/>
      <c r="M190" s="114"/>
      <c r="N190" s="114"/>
      <c r="O190" s="114"/>
      <c r="P190" s="114"/>
      <c r="Q190" s="436">
        <v>120.51</v>
      </c>
      <c r="R190" s="114"/>
      <c r="S190" s="114"/>
      <c r="T190" s="114"/>
      <c r="U190" s="114"/>
      <c r="V190" s="114"/>
      <c r="W190" s="114"/>
      <c r="X190" s="114"/>
      <c r="Y190" s="114"/>
      <c r="AQ190" t="s">
        <v>265</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266</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267</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268</v>
      </c>
      <c r="G197" s="46"/>
      <c r="J197" s="102" t="s">
        <v>1161</v>
      </c>
      <c r="K197" s="102" t="s">
        <v>826</v>
      </c>
      <c r="L197" s="102" t="s">
        <v>1162</v>
      </c>
      <c r="M197" s="102" t="s">
        <v>1163</v>
      </c>
      <c r="N197" s="102" t="s">
        <v>1164</v>
      </c>
      <c r="O197" s="102" t="s">
        <v>1165</v>
      </c>
      <c r="P197" s="102" t="s">
        <v>1166</v>
      </c>
      <c r="Q197" s="102" t="s">
        <v>827</v>
      </c>
      <c r="R197" s="102" t="s">
        <v>905</v>
      </c>
      <c r="S197" s="102" t="s">
        <v>906</v>
      </c>
      <c r="T197" s="102" t="s">
        <v>907</v>
      </c>
      <c r="U197" s="102" t="s">
        <v>908</v>
      </c>
      <c r="V197" s="102" t="s">
        <v>909</v>
      </c>
      <c r="W197" s="102" t="s">
        <v>910</v>
      </c>
      <c r="X197" s="102" t="s">
        <v>911</v>
      </c>
      <c r="Y197" s="102" t="s">
        <v>912</v>
      </c>
      <c r="Z197" s="102" t="s">
        <v>913</v>
      </c>
      <c r="AA197" s="102" t="s">
        <v>914</v>
      </c>
      <c r="AB197" s="102" t="s">
        <v>915</v>
      </c>
      <c r="AC197" s="102" t="s">
        <v>916</v>
      </c>
      <c r="AD197" s="102" t="s">
        <v>917</v>
      </c>
      <c r="AE197" s="102" t="s">
        <v>918</v>
      </c>
      <c r="AF197" s="102" t="s">
        <v>919</v>
      </c>
      <c r="AG197" s="102" t="s">
        <v>836</v>
      </c>
      <c r="AH197" s="102" t="s">
        <v>828</v>
      </c>
      <c r="AI197" s="102" t="s">
        <v>829</v>
      </c>
      <c r="AJ197" s="102" t="s">
        <v>830</v>
      </c>
      <c r="AK197" s="102" t="s">
        <v>839</v>
      </c>
      <c r="AL197" s="102" t="s">
        <v>831</v>
      </c>
      <c r="AM197" s="102" t="s">
        <v>838</v>
      </c>
      <c r="AN197" s="102" t="s">
        <v>832</v>
      </c>
      <c r="AO197" s="102" t="s">
        <v>837</v>
      </c>
    </row>
    <row r="198" spans="3:43" x14ac:dyDescent="0.25">
      <c r="D198" s="60"/>
      <c r="F198" s="90" t="s">
        <v>156</v>
      </c>
      <c r="G198" s="90" t="s">
        <v>269</v>
      </c>
      <c r="H198" s="90"/>
      <c r="I198" s="90"/>
      <c r="J198" s="435">
        <v>8.3000000000000007</v>
      </c>
      <c r="K198" s="435">
        <v>8.3000000000000007</v>
      </c>
      <c r="L198" s="435">
        <v>10.018000000000001</v>
      </c>
      <c r="M198" s="435">
        <v>10.018000000000001</v>
      </c>
      <c r="N198" s="435">
        <v>10.018000000000001</v>
      </c>
      <c r="O198" s="435">
        <v>10.018000000000001</v>
      </c>
      <c r="P198" s="435">
        <v>10.018000000000001</v>
      </c>
      <c r="Q198" s="435">
        <v>10.018000000000001</v>
      </c>
      <c r="R198" s="435">
        <v>7.2439999999999998</v>
      </c>
      <c r="S198" s="435">
        <v>7.2439999999999998</v>
      </c>
      <c r="T198" s="435">
        <v>7.2439999999999998</v>
      </c>
      <c r="U198" s="435">
        <v>7.2439999999999998</v>
      </c>
      <c r="V198" s="435">
        <v>7.2439999999999998</v>
      </c>
      <c r="W198" s="435">
        <v>4.1680000000000001</v>
      </c>
      <c r="X198" s="435">
        <v>4.1680000000000001</v>
      </c>
      <c r="Y198" s="435">
        <v>4.1680000000000001</v>
      </c>
      <c r="Z198" s="435">
        <v>4.1680000000000001</v>
      </c>
      <c r="AA198" s="435">
        <v>4.1680000000000001</v>
      </c>
      <c r="AB198" s="435">
        <v>2.887</v>
      </c>
      <c r="AC198" s="435">
        <v>2.887</v>
      </c>
      <c r="AD198" s="435">
        <v>2.887</v>
      </c>
      <c r="AE198" s="435">
        <v>2.887</v>
      </c>
      <c r="AF198" s="435">
        <v>2.887</v>
      </c>
      <c r="AG198" s="435">
        <v>25.23</v>
      </c>
      <c r="AH198" s="435">
        <v>-6.5279999999999996</v>
      </c>
      <c r="AI198" s="435">
        <v>-5.6840000000000002</v>
      </c>
      <c r="AJ198" s="435">
        <v>-6.5279999999999996</v>
      </c>
      <c r="AK198" s="435">
        <v>-6.5279999999999996</v>
      </c>
      <c r="AL198" s="435">
        <v>-5.6840000000000002</v>
      </c>
      <c r="AM198" s="435">
        <v>-5.6840000000000002</v>
      </c>
      <c r="AN198" s="435">
        <v>-3.512</v>
      </c>
      <c r="AO198" s="435">
        <v>-3.512</v>
      </c>
    </row>
    <row r="199" spans="3:43" x14ac:dyDescent="0.25">
      <c r="D199" s="60"/>
      <c r="F199" t="s">
        <v>157</v>
      </c>
      <c r="G199" t="s">
        <v>269</v>
      </c>
      <c r="J199" s="438">
        <v>0.95299999999999996</v>
      </c>
      <c r="K199" s="438">
        <v>0.95299999999999996</v>
      </c>
      <c r="L199" s="438">
        <v>1.1499999999999999</v>
      </c>
      <c r="M199" s="438">
        <v>1.1499999999999999</v>
      </c>
      <c r="N199" s="438">
        <v>1.1499999999999999</v>
      </c>
      <c r="O199" s="438">
        <v>1.1499999999999999</v>
      </c>
      <c r="P199" s="438">
        <v>1.1499999999999999</v>
      </c>
      <c r="Q199" s="438">
        <v>1.1499999999999999</v>
      </c>
      <c r="R199" s="438">
        <v>0.78700000000000003</v>
      </c>
      <c r="S199" s="438">
        <v>0.78700000000000003</v>
      </c>
      <c r="T199" s="438">
        <v>0.78700000000000003</v>
      </c>
      <c r="U199" s="438">
        <v>0.78700000000000003</v>
      </c>
      <c r="V199" s="438">
        <v>0.78700000000000003</v>
      </c>
      <c r="W199" s="438">
        <v>0.374</v>
      </c>
      <c r="X199" s="438">
        <v>0.374</v>
      </c>
      <c r="Y199" s="438">
        <v>0.374</v>
      </c>
      <c r="Z199" s="438">
        <v>0.374</v>
      </c>
      <c r="AA199" s="438">
        <v>0.374</v>
      </c>
      <c r="AB199" s="438">
        <v>0.22900000000000001</v>
      </c>
      <c r="AC199" s="438">
        <v>0.22900000000000001</v>
      </c>
      <c r="AD199" s="438">
        <v>0.22900000000000001</v>
      </c>
      <c r="AE199" s="438">
        <v>0.22900000000000001</v>
      </c>
      <c r="AF199" s="438">
        <v>0.22900000000000001</v>
      </c>
      <c r="AG199" s="438">
        <v>3.8370000000000002</v>
      </c>
      <c r="AH199" s="438">
        <v>-0.75</v>
      </c>
      <c r="AI199" s="438">
        <v>-0.63500000000000001</v>
      </c>
      <c r="AJ199" s="438">
        <v>-0.75</v>
      </c>
      <c r="AK199" s="438">
        <v>-0.75</v>
      </c>
      <c r="AL199" s="438">
        <v>-0.63500000000000001</v>
      </c>
      <c r="AM199" s="438">
        <v>-0.63500000000000001</v>
      </c>
      <c r="AN199" s="438">
        <v>-0.313</v>
      </c>
      <c r="AO199" s="438">
        <v>-0.313</v>
      </c>
    </row>
    <row r="200" spans="3:43" x14ac:dyDescent="0.25">
      <c r="D200" s="60"/>
      <c r="F200" t="s">
        <v>158</v>
      </c>
      <c r="G200" t="s">
        <v>269</v>
      </c>
      <c r="J200" s="438">
        <v>1.7000000000000001E-2</v>
      </c>
      <c r="K200" s="438">
        <v>1.7000000000000001E-2</v>
      </c>
      <c r="L200" s="438">
        <v>2.1000000000000001E-2</v>
      </c>
      <c r="M200" s="438">
        <v>2.1000000000000001E-2</v>
      </c>
      <c r="N200" s="438">
        <v>2.1000000000000001E-2</v>
      </c>
      <c r="O200" s="438">
        <v>2.1000000000000001E-2</v>
      </c>
      <c r="P200" s="438">
        <v>2.1000000000000001E-2</v>
      </c>
      <c r="Q200" s="438">
        <v>2.1000000000000001E-2</v>
      </c>
      <c r="R200" s="438">
        <v>1.4E-2</v>
      </c>
      <c r="S200" s="438">
        <v>1.4E-2</v>
      </c>
      <c r="T200" s="438">
        <v>1.4E-2</v>
      </c>
      <c r="U200" s="438">
        <v>1.4E-2</v>
      </c>
      <c r="V200" s="438">
        <v>1.4E-2</v>
      </c>
      <c r="W200" s="438">
        <v>6.0000000000000001E-3</v>
      </c>
      <c r="X200" s="438">
        <v>6.0000000000000001E-3</v>
      </c>
      <c r="Y200" s="438">
        <v>6.0000000000000001E-3</v>
      </c>
      <c r="Z200" s="438">
        <v>6.0000000000000001E-3</v>
      </c>
      <c r="AA200" s="438">
        <v>6.0000000000000001E-3</v>
      </c>
      <c r="AB200" s="438">
        <v>3.0000000000000001E-3</v>
      </c>
      <c r="AC200" s="438">
        <v>3.0000000000000001E-3</v>
      </c>
      <c r="AD200" s="438">
        <v>3.0000000000000001E-3</v>
      </c>
      <c r="AE200" s="438">
        <v>3.0000000000000001E-3</v>
      </c>
      <c r="AF200" s="438">
        <v>3.0000000000000001E-3</v>
      </c>
      <c r="AG200" s="438">
        <v>2.9350000000000001</v>
      </c>
      <c r="AH200" s="438">
        <v>-1.2999999999999999E-2</v>
      </c>
      <c r="AI200" s="438">
        <v>-1.0999999999999999E-2</v>
      </c>
      <c r="AJ200" s="438">
        <v>-1.2999999999999999E-2</v>
      </c>
      <c r="AK200" s="438">
        <v>-1.2999999999999999E-2</v>
      </c>
      <c r="AL200" s="438">
        <v>-1.0999999999999999E-2</v>
      </c>
      <c r="AM200" s="438">
        <v>-1.0999999999999999E-2</v>
      </c>
      <c r="AN200" s="438">
        <v>-5.0000000000000001E-3</v>
      </c>
      <c r="AO200" s="438">
        <v>-5.0000000000000001E-3</v>
      </c>
    </row>
    <row r="201" spans="3:43" x14ac:dyDescent="0.25">
      <c r="D201" s="60"/>
      <c r="F201" t="s">
        <v>159</v>
      </c>
      <c r="G201" t="s">
        <v>270</v>
      </c>
      <c r="J201" s="438">
        <v>25.29</v>
      </c>
      <c r="K201" s="121"/>
      <c r="L201" s="438">
        <v>6.3</v>
      </c>
      <c r="M201" s="438">
        <v>31.74</v>
      </c>
      <c r="N201" s="438">
        <v>64.75</v>
      </c>
      <c r="O201" s="438">
        <v>132.53</v>
      </c>
      <c r="P201" s="438">
        <v>377.39</v>
      </c>
      <c r="Q201" s="121"/>
      <c r="R201" s="438">
        <v>24.08</v>
      </c>
      <c r="S201" s="438">
        <v>713.27</v>
      </c>
      <c r="T201" s="438">
        <v>1228.42</v>
      </c>
      <c r="U201" s="438">
        <v>2054.9299999999998</v>
      </c>
      <c r="V201" s="438">
        <v>4446.13</v>
      </c>
      <c r="W201" s="438">
        <v>8.6999999999999993</v>
      </c>
      <c r="X201" s="438">
        <v>697.9</v>
      </c>
      <c r="Y201" s="438">
        <v>1213.05</v>
      </c>
      <c r="Z201" s="438">
        <v>2039.55</v>
      </c>
      <c r="AA201" s="438">
        <v>4430.75</v>
      </c>
      <c r="AB201" s="438">
        <v>127.31</v>
      </c>
      <c r="AC201" s="438">
        <v>3572.11</v>
      </c>
      <c r="AD201" s="438">
        <v>10572.74</v>
      </c>
      <c r="AE201" s="438">
        <v>21420.09</v>
      </c>
      <c r="AF201" s="438">
        <v>56602.14</v>
      </c>
      <c r="AG201" s="121"/>
      <c r="AH201" s="121"/>
      <c r="AI201" s="121"/>
      <c r="AJ201" s="121"/>
      <c r="AK201" s="121"/>
      <c r="AL201" s="121"/>
      <c r="AM201" s="121"/>
      <c r="AN201" s="438">
        <v>92.73</v>
      </c>
      <c r="AO201" s="438">
        <v>92.73</v>
      </c>
    </row>
    <row r="202" spans="3:43" x14ac:dyDescent="0.25">
      <c r="D202" s="60"/>
      <c r="F202" t="s">
        <v>160</v>
      </c>
      <c r="G202" t="s">
        <v>271</v>
      </c>
      <c r="J202" s="121"/>
      <c r="K202" s="121"/>
      <c r="L202" s="121"/>
      <c r="M202" s="121"/>
      <c r="N202" s="121"/>
      <c r="O202" s="121"/>
      <c r="P202" s="121"/>
      <c r="Q202" s="121"/>
      <c r="R202" s="438">
        <v>2.94</v>
      </c>
      <c r="S202" s="438">
        <v>2.94</v>
      </c>
      <c r="T202" s="438">
        <v>2.94</v>
      </c>
      <c r="U202" s="438">
        <v>2.94</v>
      </c>
      <c r="V202" s="438">
        <v>2.94</v>
      </c>
      <c r="W202" s="438">
        <v>5.42</v>
      </c>
      <c r="X202" s="438">
        <v>5.42</v>
      </c>
      <c r="Y202" s="438">
        <v>5.42</v>
      </c>
      <c r="Z202" s="438">
        <v>5.42</v>
      </c>
      <c r="AA202" s="438">
        <v>5.42</v>
      </c>
      <c r="AB202" s="438">
        <v>5.97</v>
      </c>
      <c r="AC202" s="438">
        <v>5.97</v>
      </c>
      <c r="AD202" s="438">
        <v>5.97</v>
      </c>
      <c r="AE202" s="438">
        <v>5.97</v>
      </c>
      <c r="AF202" s="438">
        <v>5.97</v>
      </c>
      <c r="AG202" s="121"/>
      <c r="AH202" s="121"/>
      <c r="AI202" s="121"/>
      <c r="AJ202" s="121"/>
      <c r="AK202" s="121"/>
      <c r="AL202" s="121"/>
      <c r="AM202" s="121"/>
      <c r="AN202" s="121"/>
      <c r="AO202" s="121"/>
    </row>
    <row r="203" spans="3:43" x14ac:dyDescent="0.25">
      <c r="D203" s="130"/>
      <c r="F203" t="s">
        <v>161</v>
      </c>
      <c r="G203" t="s">
        <v>271</v>
      </c>
      <c r="J203" s="121"/>
      <c r="K203" s="121"/>
      <c r="L203" s="121"/>
      <c r="M203" s="121"/>
      <c r="N203" s="121"/>
      <c r="O203" s="121"/>
      <c r="P203" s="121"/>
      <c r="Q203" s="121"/>
      <c r="R203" s="438">
        <v>4.2699999999999996</v>
      </c>
      <c r="S203" s="438">
        <v>4.2699999999999996</v>
      </c>
      <c r="T203" s="438">
        <v>4.2699999999999996</v>
      </c>
      <c r="U203" s="438">
        <v>4.2699999999999996</v>
      </c>
      <c r="V203" s="438">
        <v>4.2699999999999996</v>
      </c>
      <c r="W203" s="438">
        <v>6.18</v>
      </c>
      <c r="X203" s="438">
        <v>6.18</v>
      </c>
      <c r="Y203" s="438">
        <v>6.18</v>
      </c>
      <c r="Z203" s="438">
        <v>6.18</v>
      </c>
      <c r="AA203" s="438">
        <v>6.18</v>
      </c>
      <c r="AB203" s="438">
        <v>7.35</v>
      </c>
      <c r="AC203" s="438">
        <v>7.35</v>
      </c>
      <c r="AD203" s="438">
        <v>7.35</v>
      </c>
      <c r="AE203" s="438">
        <v>7.35</v>
      </c>
      <c r="AF203" s="438">
        <v>7.35</v>
      </c>
      <c r="AG203" s="121"/>
      <c r="AH203" s="121"/>
      <c r="AI203" s="121"/>
      <c r="AJ203" s="121"/>
      <c r="AK203" s="121"/>
      <c r="AL203" s="121"/>
      <c r="AM203" s="121"/>
      <c r="AN203" s="121"/>
      <c r="AO203" s="121"/>
    </row>
    <row r="204" spans="3:43" x14ac:dyDescent="0.25">
      <c r="D204" s="130"/>
      <c r="F204" s="91" t="s">
        <v>162</v>
      </c>
      <c r="G204" s="91" t="s">
        <v>272</v>
      </c>
      <c r="H204" s="91"/>
      <c r="I204" s="91"/>
      <c r="J204" s="116"/>
      <c r="K204" s="116"/>
      <c r="L204" s="116"/>
      <c r="M204" s="116"/>
      <c r="N204" s="116"/>
      <c r="O204" s="116"/>
      <c r="P204" s="116"/>
      <c r="Q204" s="116"/>
      <c r="R204" s="437">
        <v>0.14899999999999999</v>
      </c>
      <c r="S204" s="437">
        <v>0.14899999999999999</v>
      </c>
      <c r="T204" s="437">
        <v>0.14899999999999999</v>
      </c>
      <c r="U204" s="437">
        <v>0.14899999999999999</v>
      </c>
      <c r="V204" s="437">
        <v>0.14899999999999999</v>
      </c>
      <c r="W204" s="437">
        <v>7.4999999999999997E-2</v>
      </c>
      <c r="X204" s="437">
        <v>7.4999999999999997E-2</v>
      </c>
      <c r="Y204" s="437">
        <v>7.4999999999999997E-2</v>
      </c>
      <c r="Z204" s="437">
        <v>7.4999999999999997E-2</v>
      </c>
      <c r="AA204" s="437">
        <v>7.4999999999999997E-2</v>
      </c>
      <c r="AB204" s="437">
        <v>4.8000000000000001E-2</v>
      </c>
      <c r="AC204" s="437">
        <v>4.8000000000000001E-2</v>
      </c>
      <c r="AD204" s="437">
        <v>4.8000000000000001E-2</v>
      </c>
      <c r="AE204" s="437">
        <v>4.8000000000000001E-2</v>
      </c>
      <c r="AF204" s="437">
        <v>4.8000000000000001E-2</v>
      </c>
      <c r="AG204" s="116"/>
      <c r="AH204" s="437"/>
      <c r="AI204" s="437"/>
      <c r="AJ204" s="437">
        <v>0.13500000000000001</v>
      </c>
      <c r="AK204" s="116"/>
      <c r="AL204" s="437">
        <v>0.11700000000000001</v>
      </c>
      <c r="AM204" s="116"/>
      <c r="AN204" s="437">
        <v>9.6000000000000002E-2</v>
      </c>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273</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274</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275</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1161</v>
      </c>
      <c r="K212" s="131" t="s">
        <v>826</v>
      </c>
      <c r="L212" s="131" t="s">
        <v>1162</v>
      </c>
      <c r="M212" s="131" t="s">
        <v>1163</v>
      </c>
      <c r="N212" s="131" t="s">
        <v>1164</v>
      </c>
      <c r="O212" s="131" t="s">
        <v>1165</v>
      </c>
      <c r="P212" s="131" t="s">
        <v>1166</v>
      </c>
      <c r="Q212" s="131" t="s">
        <v>827</v>
      </c>
      <c r="R212" s="131" t="s">
        <v>905</v>
      </c>
      <c r="S212" s="131" t="s">
        <v>906</v>
      </c>
      <c r="T212" s="131" t="s">
        <v>907</v>
      </c>
      <c r="U212" s="131" t="s">
        <v>908</v>
      </c>
      <c r="V212" s="131" t="s">
        <v>909</v>
      </c>
      <c r="W212" s="131" t="s">
        <v>910</v>
      </c>
      <c r="X212" s="131" t="s">
        <v>911</v>
      </c>
      <c r="Y212" s="131" t="s">
        <v>912</v>
      </c>
      <c r="Z212" s="131" t="s">
        <v>913</v>
      </c>
      <c r="AA212" s="131" t="s">
        <v>914</v>
      </c>
      <c r="AB212" s="131" t="s">
        <v>915</v>
      </c>
      <c r="AC212" s="131" t="s">
        <v>916</v>
      </c>
      <c r="AD212" s="131" t="s">
        <v>917</v>
      </c>
      <c r="AE212" s="131" t="s">
        <v>918</v>
      </c>
      <c r="AF212" s="131" t="s">
        <v>919</v>
      </c>
      <c r="AG212" s="131" t="s">
        <v>836</v>
      </c>
      <c r="AH212" s="131" t="s">
        <v>828</v>
      </c>
      <c r="AI212" s="131" t="s">
        <v>829</v>
      </c>
      <c r="AJ212" s="131" t="s">
        <v>830</v>
      </c>
      <c r="AK212" s="131" t="s">
        <v>839</v>
      </c>
      <c r="AL212" s="131" t="s">
        <v>831</v>
      </c>
      <c r="AM212" s="131" t="s">
        <v>838</v>
      </c>
      <c r="AN212" s="131" t="s">
        <v>832</v>
      </c>
      <c r="AO212" s="131" t="s">
        <v>837</v>
      </c>
    </row>
    <row r="213" spans="2:43" x14ac:dyDescent="0.25">
      <c r="E213" s="89" t="s">
        <v>276</v>
      </c>
      <c r="G213" t="s">
        <v>277</v>
      </c>
      <c r="J213" s="438">
        <v>251880526.29875028</v>
      </c>
      <c r="K213" s="438">
        <v>252542.72534267849</v>
      </c>
      <c r="L213" s="438">
        <v>4176.224081105016</v>
      </c>
      <c r="M213" s="438">
        <v>8063865.8930896092</v>
      </c>
      <c r="N213" s="438">
        <v>13479068.454028413</v>
      </c>
      <c r="O213" s="438">
        <v>16205215.45459928</v>
      </c>
      <c r="P213" s="438">
        <v>48011460.990142033</v>
      </c>
      <c r="Q213" s="438">
        <v>169321.72396384823</v>
      </c>
      <c r="R213" s="438">
        <v>14181.864725498284</v>
      </c>
      <c r="S213" s="438">
        <v>19833340.264230125</v>
      </c>
      <c r="T213" s="438">
        <v>28669813.030989077</v>
      </c>
      <c r="U213" s="438">
        <v>16158771.296281604</v>
      </c>
      <c r="V213" s="438">
        <v>42026745.17298311</v>
      </c>
      <c r="W213" s="438">
        <v>310.91044345110066</v>
      </c>
      <c r="X213" s="438">
        <v>49904.381317015817</v>
      </c>
      <c r="Y213" s="438">
        <v>208298.18252892178</v>
      </c>
      <c r="Z213" s="438">
        <v>586970.24369940802</v>
      </c>
      <c r="AA213" s="438">
        <v>6507336.4484012043</v>
      </c>
      <c r="AB213" s="438">
        <v>261620.78871062869</v>
      </c>
      <c r="AC213" s="438">
        <v>7037953.4757318543</v>
      </c>
      <c r="AD213" s="438">
        <v>23974269.010892484</v>
      </c>
      <c r="AE213" s="438">
        <v>21187483.919828035</v>
      </c>
      <c r="AF213" s="438">
        <v>65825213.014077909</v>
      </c>
      <c r="AG213" s="438">
        <v>9653103.2800067328</v>
      </c>
      <c r="AH213" s="438">
        <v>-106151.41367895291</v>
      </c>
      <c r="AI213" s="438">
        <v>-975.63568000000009</v>
      </c>
      <c r="AJ213" s="438">
        <v>-576278.44961000001</v>
      </c>
      <c r="AK213" s="438">
        <v>0</v>
      </c>
      <c r="AL213" s="438">
        <v>-5403.6347100000003</v>
      </c>
      <c r="AM213" s="438">
        <v>0</v>
      </c>
      <c r="AN213" s="438">
        <v>-5419421.8276299983</v>
      </c>
      <c r="AO213" s="438">
        <v>0</v>
      </c>
    </row>
    <row r="214" spans="2:43" x14ac:dyDescent="0.25">
      <c r="G214" s="46"/>
    </row>
    <row r="215" spans="2:43" x14ac:dyDescent="0.25">
      <c r="B215" s="70" t="s">
        <v>231</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1104</v>
      </c>
      <c r="G217" s="46"/>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row>
    <row r="218" spans="2:43" x14ac:dyDescent="0.25">
      <c r="E218" s="60"/>
      <c r="F218" s="111" t="s">
        <v>247</v>
      </c>
      <c r="G218" s="111" t="s">
        <v>209</v>
      </c>
      <c r="H218" s="123" t="b">
        <f>SUM(J169:N169)=1</f>
        <v>1</v>
      </c>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row>
    <row r="219" spans="2:43" x14ac:dyDescent="0.25">
      <c r="E219" s="60"/>
      <c r="F219" s="124" t="s">
        <v>248</v>
      </c>
      <c r="G219" s="124" t="s">
        <v>209</v>
      </c>
      <c r="H219" s="125" t="b">
        <f t="shared" ref="H219:H220" si="3">SUM(J170:N170)=1</f>
        <v>1</v>
      </c>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row>
    <row r="220" spans="2:43" x14ac:dyDescent="0.25">
      <c r="E220" s="60"/>
      <c r="F220" s="115" t="s">
        <v>249</v>
      </c>
      <c r="G220" s="115" t="s">
        <v>209</v>
      </c>
      <c r="H220" s="126" t="b">
        <f t="shared" si="3"/>
        <v>1</v>
      </c>
    </row>
    <row r="221" spans="2:43" x14ac:dyDescent="0.25">
      <c r="E221" s="117"/>
      <c r="F221" s="118"/>
      <c r="G221" s="118"/>
      <c r="H221" s="14"/>
    </row>
    <row r="222" spans="2:43" x14ac:dyDescent="0.25">
      <c r="E222" s="60" t="s">
        <v>1105</v>
      </c>
      <c r="G222" s="46"/>
    </row>
    <row r="223" spans="2:43" x14ac:dyDescent="0.25">
      <c r="E223" s="60"/>
      <c r="F223" s="111" t="s">
        <v>247</v>
      </c>
      <c r="G223" s="111" t="s">
        <v>209</v>
      </c>
      <c r="H223" s="123" t="b">
        <f>SUM(J174:N174)=1</f>
        <v>1</v>
      </c>
    </row>
    <row r="224" spans="2:43" x14ac:dyDescent="0.25">
      <c r="E224" s="60"/>
      <c r="F224" s="124" t="s">
        <v>248</v>
      </c>
      <c r="G224" s="124" t="s">
        <v>209</v>
      </c>
      <c r="H224" s="125" t="b">
        <f t="shared" ref="H224:H225" si="4">SUM(J175:N175)=1</f>
        <v>1</v>
      </c>
    </row>
    <row r="225" spans="2:43" x14ac:dyDescent="0.25">
      <c r="E225" s="60"/>
      <c r="F225" s="115" t="s">
        <v>249</v>
      </c>
      <c r="G225" s="115" t="s">
        <v>209</v>
      </c>
      <c r="H225" s="126" t="b">
        <f t="shared" si="4"/>
        <v>1</v>
      </c>
    </row>
    <row r="226" spans="2:43" x14ac:dyDescent="0.25">
      <c r="E226" s="117"/>
      <c r="F226" s="118"/>
      <c r="G226" s="118"/>
      <c r="H226" s="14"/>
    </row>
    <row r="227" spans="2:43" x14ac:dyDescent="0.25">
      <c r="E227" s="60" t="s">
        <v>1106</v>
      </c>
      <c r="G227" s="46"/>
    </row>
    <row r="228" spans="2:43" x14ac:dyDescent="0.25">
      <c r="E228" s="60"/>
      <c r="F228" s="111" t="s">
        <v>247</v>
      </c>
      <c r="G228" s="111" t="s">
        <v>209</v>
      </c>
      <c r="H228" s="123" t="b">
        <f>SUM(J179:N179)=1</f>
        <v>1</v>
      </c>
    </row>
    <row r="229" spans="2:43" x14ac:dyDescent="0.25">
      <c r="E229" s="60"/>
      <c r="F229" s="124" t="s">
        <v>248</v>
      </c>
      <c r="G229" s="124" t="s">
        <v>209</v>
      </c>
      <c r="H229" s="125" t="b">
        <f t="shared" ref="H229:H230" si="5">SUM(J180:N180)=1</f>
        <v>1</v>
      </c>
    </row>
    <row r="230" spans="2:43" x14ac:dyDescent="0.25">
      <c r="E230" s="60"/>
      <c r="F230" s="115" t="s">
        <v>249</v>
      </c>
      <c r="G230" s="115" t="s">
        <v>209</v>
      </c>
      <c r="H230" s="126" t="b">
        <f t="shared" si="5"/>
        <v>1</v>
      </c>
    </row>
    <row r="231" spans="2:43" x14ac:dyDescent="0.25">
      <c r="G231" s="46"/>
    </row>
    <row r="232" spans="2:43" x14ac:dyDescent="0.25">
      <c r="E232" t="s">
        <v>1107</v>
      </c>
      <c r="G232" s="6" t="s">
        <v>55</v>
      </c>
      <c r="H232" s="104">
        <f>COUNTIF(H218:H230,FALSE)</f>
        <v>0</v>
      </c>
    </row>
    <row r="233" spans="2:43" x14ac:dyDescent="0.25">
      <c r="G233" s="46"/>
    </row>
    <row r="234" spans="2:43" x14ac:dyDescent="0.25">
      <c r="E234" t="s">
        <v>232</v>
      </c>
      <c r="G234" s="6" t="s">
        <v>55</v>
      </c>
      <c r="H234" s="104">
        <f t="array" ref="H234">SUM(IF(ISERROR(H13:Y214), 1))</f>
        <v>0</v>
      </c>
    </row>
    <row r="235" spans="2:43" x14ac:dyDescent="0.25">
      <c r="G235" s="46"/>
    </row>
    <row r="236" spans="2:43" x14ac:dyDescent="0.25">
      <c r="E236" t="s">
        <v>239</v>
      </c>
      <c r="G236" s="6" t="s">
        <v>55</v>
      </c>
      <c r="H236" s="108">
        <f xml:space="preserve"> H232 + H234</f>
        <v>0</v>
      </c>
    </row>
    <row r="238" spans="2:43" x14ac:dyDescent="0.25">
      <c r="B238" s="70" t="s">
        <v>106</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06:Y113 J185:Y185 J207:AO207 J193:AO193 J187:Y188 J23:Y30 J126:Y133 J32:Y39 J50:Y57 J41:Y48 J59:Y66 J190:Y191 J117:Y124 J135:Y142 J144:Y151 K169:N172 K179:N181 J153:Y160 K174:N177 J70:Y77 J79:Y86 J88:Y95 J97:Y104 J182:R182 T182:Y182" xr:uid="{00000000-0002-0000-0600-000003000000}">
      <formula1>0</formula1>
    </dataValidation>
    <dataValidation allowBlank="1" sqref="J213:AO213" xr:uid="{1CC92792-335A-4DB0-B4F1-F855F8465B77}"/>
    <dataValidation type="decimal" operator="greaterThanOrEqual" allowBlank="1" showInputMessage="1" showErrorMessage="1" sqref="Y182 Y124:Y160 Y15:Y22 Y27:Y116"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activeCell="A4" sqref="A4"/>
      <selection pane="topRight" activeCell="A4" sqref="A4"/>
      <selection pane="bottomLeft" activeCell="A4" sqref="A4"/>
      <selection pane="bottomRigh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142</v>
      </c>
      <c r="C5" s="85"/>
      <c r="D5" s="85"/>
      <c r="E5" s="85"/>
      <c r="F5" s="85"/>
      <c r="G5" s="1" t="s">
        <v>143</v>
      </c>
      <c r="H5" s="133" t="s">
        <v>144</v>
      </c>
      <c r="I5" s="47"/>
      <c r="J5" s="133" t="s">
        <v>189</v>
      </c>
      <c r="K5" s="133" t="s">
        <v>191</v>
      </c>
      <c r="L5" s="133" t="s">
        <v>192</v>
      </c>
      <c r="M5" s="133" t="s">
        <v>193</v>
      </c>
      <c r="N5" s="133" t="s">
        <v>194</v>
      </c>
      <c r="O5" s="133" t="s">
        <v>195</v>
      </c>
      <c r="P5" s="133" t="s">
        <v>196</v>
      </c>
      <c r="Q5" s="133" t="s">
        <v>197</v>
      </c>
      <c r="R5" s="133" t="s">
        <v>198</v>
      </c>
      <c r="S5" s="133" t="s">
        <v>199</v>
      </c>
      <c r="U5" s="86" t="s">
        <v>145</v>
      </c>
    </row>
    <row r="7" spans="1:27" x14ac:dyDescent="0.25">
      <c r="B7" s="70" t="s">
        <v>10</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278</v>
      </c>
    </row>
    <row r="11" spans="1:27" x14ac:dyDescent="0.25">
      <c r="B11" s="70" t="s">
        <v>58</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279</v>
      </c>
      <c r="G15" s="89" t="s">
        <v>167</v>
      </c>
      <c r="I15" t="s">
        <v>154</v>
      </c>
      <c r="J15" s="134"/>
      <c r="K15" s="450">
        <v>0.11600000000000001</v>
      </c>
      <c r="L15" s="450">
        <v>0</v>
      </c>
      <c r="M15" s="134"/>
      <c r="N15" s="450">
        <v>0.13</v>
      </c>
      <c r="O15" s="134"/>
      <c r="P15" s="135"/>
      <c r="Q15" s="450">
        <v>0.25</v>
      </c>
      <c r="R15" s="95"/>
      <c r="S15" s="95"/>
      <c r="U15" s="92" t="s">
        <v>280</v>
      </c>
    </row>
    <row r="17" spans="3:27" x14ac:dyDescent="0.25">
      <c r="E17" s="89" t="s">
        <v>281</v>
      </c>
      <c r="G17" s="89" t="s">
        <v>167</v>
      </c>
      <c r="H17" s="89"/>
      <c r="I17" s="136"/>
      <c r="J17" s="134"/>
      <c r="K17" s="95"/>
      <c r="L17" s="95"/>
      <c r="M17" s="95"/>
      <c r="N17" s="95"/>
      <c r="O17" s="95"/>
      <c r="P17" s="442"/>
      <c r="Q17" s="95"/>
      <c r="R17" s="95"/>
      <c r="S17" s="95"/>
    </row>
    <row r="19" spans="3:27" x14ac:dyDescent="0.25">
      <c r="E19" s="89" t="s">
        <v>282</v>
      </c>
      <c r="F19" s="452"/>
      <c r="G19" s="89" t="s">
        <v>283</v>
      </c>
      <c r="I19" t="s">
        <v>154</v>
      </c>
      <c r="J19" s="114"/>
      <c r="K19" s="451">
        <v>1</v>
      </c>
      <c r="L19" s="451">
        <v>1</v>
      </c>
      <c r="M19" s="451">
        <v>1</v>
      </c>
      <c r="N19" s="451">
        <v>1.0029999999999999</v>
      </c>
      <c r="O19" s="451">
        <v>1.0129999999999999</v>
      </c>
      <c r="P19" s="292"/>
      <c r="Q19" s="451">
        <v>1.0249999999999999</v>
      </c>
      <c r="R19" s="451">
        <v>1.044</v>
      </c>
      <c r="S19" s="451">
        <v>1.109</v>
      </c>
      <c r="U19" s="92" t="s">
        <v>284</v>
      </c>
    </row>
    <row r="20" spans="3:27" x14ac:dyDescent="0.25">
      <c r="J20" s="101"/>
      <c r="K20" s="101"/>
      <c r="L20" s="101"/>
      <c r="M20" s="101"/>
      <c r="N20" s="101"/>
      <c r="O20" s="101"/>
      <c r="P20" s="101"/>
      <c r="Q20" s="101"/>
      <c r="R20" s="101"/>
      <c r="S20" s="101"/>
    </row>
    <row r="21" spans="3:27" x14ac:dyDescent="0.25">
      <c r="E21" s="89" t="s">
        <v>285</v>
      </c>
      <c r="G21" s="89" t="s">
        <v>286</v>
      </c>
      <c r="I21" t="s">
        <v>154</v>
      </c>
      <c r="J21" s="114"/>
      <c r="K21" s="451">
        <v>0.17778534417370662</v>
      </c>
      <c r="L21" s="462">
        <v>0</v>
      </c>
      <c r="M21" s="462">
        <v>0</v>
      </c>
      <c r="N21" s="462">
        <v>0.17778534417370662</v>
      </c>
      <c r="O21" s="462">
        <v>0.14192401313923816</v>
      </c>
      <c r="P21" s="462">
        <v>0</v>
      </c>
      <c r="Q21" s="462">
        <v>0.14192401313923816</v>
      </c>
      <c r="R21" s="462">
        <v>0.14192401313923816</v>
      </c>
      <c r="S21" s="462">
        <v>0.14192401313923816</v>
      </c>
      <c r="U21" s="92" t="s">
        <v>287</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154</v>
      </c>
      <c r="U24" t="s">
        <v>288</v>
      </c>
    </row>
    <row r="25" spans="3:27" x14ac:dyDescent="0.25">
      <c r="C25" s="60"/>
      <c r="E25" s="60" t="s">
        <v>289</v>
      </c>
    </row>
    <row r="26" spans="3:27" x14ac:dyDescent="0.25">
      <c r="F26" s="453" t="s">
        <v>186</v>
      </c>
      <c r="G26" s="93" t="s">
        <v>167</v>
      </c>
      <c r="H26" s="90"/>
      <c r="I26" s="90"/>
      <c r="J26" s="94"/>
      <c r="K26" s="94"/>
      <c r="L26" s="446">
        <v>0</v>
      </c>
      <c r="M26" s="446">
        <v>0</v>
      </c>
      <c r="N26" s="446">
        <v>0</v>
      </c>
      <c r="O26" s="446">
        <v>0</v>
      </c>
      <c r="P26" s="446">
        <v>0</v>
      </c>
      <c r="Q26" s="446">
        <v>0</v>
      </c>
      <c r="R26" s="446">
        <v>0</v>
      </c>
      <c r="S26" s="446">
        <v>0</v>
      </c>
    </row>
    <row r="27" spans="3:27" x14ac:dyDescent="0.25">
      <c r="F27" s="454" t="s">
        <v>185</v>
      </c>
      <c r="G27" s="89" t="s">
        <v>167</v>
      </c>
      <c r="J27" s="95"/>
      <c r="K27" s="95"/>
      <c r="L27" s="444">
        <v>0</v>
      </c>
      <c r="M27" s="444">
        <v>0</v>
      </c>
      <c r="N27" s="444">
        <v>0</v>
      </c>
      <c r="O27" s="444">
        <v>0</v>
      </c>
      <c r="P27" s="444">
        <v>0</v>
      </c>
      <c r="Q27" s="444">
        <v>0</v>
      </c>
      <c r="R27" s="444">
        <v>0</v>
      </c>
      <c r="S27" s="98"/>
    </row>
    <row r="28" spans="3:27" x14ac:dyDescent="0.25">
      <c r="F28" s="454" t="s">
        <v>184</v>
      </c>
      <c r="G28" s="89" t="s">
        <v>167</v>
      </c>
      <c r="J28" s="95"/>
      <c r="K28" s="95"/>
      <c r="L28" s="444">
        <v>0</v>
      </c>
      <c r="M28" s="444">
        <v>0</v>
      </c>
      <c r="N28" s="444">
        <v>0</v>
      </c>
      <c r="O28" s="444">
        <v>0</v>
      </c>
      <c r="P28" s="444">
        <v>0</v>
      </c>
      <c r="Q28" s="444">
        <v>0</v>
      </c>
      <c r="R28" s="98"/>
      <c r="S28" s="98"/>
    </row>
    <row r="29" spans="3:27" x14ac:dyDescent="0.25">
      <c r="F29" s="455" t="s">
        <v>183</v>
      </c>
      <c r="G29" s="96" t="s">
        <v>167</v>
      </c>
      <c r="H29" s="91"/>
      <c r="I29" s="91"/>
      <c r="J29" s="97"/>
      <c r="K29" s="97"/>
      <c r="L29" s="447">
        <v>0</v>
      </c>
      <c r="M29" s="447">
        <v>0</v>
      </c>
      <c r="N29" s="447">
        <v>0</v>
      </c>
      <c r="O29" s="447">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89" t="s">
        <v>290</v>
      </c>
      <c r="F33" s="452"/>
      <c r="G33" s="89" t="s">
        <v>277</v>
      </c>
      <c r="I33" t="s">
        <v>154</v>
      </c>
      <c r="J33" s="114"/>
      <c r="K33" s="114"/>
      <c r="L33" s="451">
        <v>0</v>
      </c>
      <c r="M33" s="451">
        <v>0</v>
      </c>
      <c r="N33" s="451">
        <v>136254397.18751031</v>
      </c>
      <c r="O33" s="451">
        <v>34914496.191689178</v>
      </c>
      <c r="P33" s="451">
        <v>0</v>
      </c>
      <c r="Q33" s="451">
        <v>150203140.73142385</v>
      </c>
      <c r="R33" s="451">
        <v>37750302.331639282</v>
      </c>
      <c r="S33" s="451">
        <v>63497202.033343598</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291</v>
      </c>
    </row>
    <row r="38" spans="2:27" x14ac:dyDescent="0.25">
      <c r="C38" s="71"/>
    </row>
    <row r="39" spans="2:27" x14ac:dyDescent="0.25">
      <c r="D39" s="60"/>
      <c r="E39" s="60" t="s">
        <v>292</v>
      </c>
      <c r="I39" t="s">
        <v>154</v>
      </c>
      <c r="U39" t="s">
        <v>293</v>
      </c>
    </row>
    <row r="40" spans="2:27" x14ac:dyDescent="0.25">
      <c r="F40" s="90" t="s">
        <v>294</v>
      </c>
      <c r="G40" s="111" t="s">
        <v>167</v>
      </c>
      <c r="H40" s="90"/>
      <c r="I40" s="90"/>
      <c r="J40" s="94"/>
      <c r="K40" s="464">
        <v>0.75344120840111983</v>
      </c>
      <c r="L40" s="464"/>
      <c r="M40" s="464"/>
      <c r="N40" s="464">
        <v>0.75344120840111983</v>
      </c>
      <c r="O40" s="464">
        <v>0.60451701500933874</v>
      </c>
      <c r="P40" s="464"/>
      <c r="Q40" s="464">
        <v>0.60451701500933874</v>
      </c>
      <c r="R40" s="464">
        <v>0.60451701500933874</v>
      </c>
      <c r="S40" s="464">
        <v>0.60451701500933874</v>
      </c>
    </row>
    <row r="41" spans="2:27" x14ac:dyDescent="0.25">
      <c r="F41" t="s">
        <v>295</v>
      </c>
      <c r="G41" s="113" t="s">
        <v>167</v>
      </c>
      <c r="J41" s="95"/>
      <c r="K41" s="450">
        <v>0.23932441085978642</v>
      </c>
      <c r="L41" s="450"/>
      <c r="M41" s="450"/>
      <c r="N41" s="450">
        <v>0.23932441085978642</v>
      </c>
      <c r="O41" s="450">
        <v>0.38575653098498325</v>
      </c>
      <c r="P41" s="450"/>
      <c r="Q41" s="450">
        <v>0.38575653098498325</v>
      </c>
      <c r="R41" s="450">
        <v>0.38575653098498325</v>
      </c>
      <c r="S41" s="450">
        <v>0.38575653098498325</v>
      </c>
    </row>
    <row r="42" spans="2:27" x14ac:dyDescent="0.25">
      <c r="F42" s="91" t="s">
        <v>257</v>
      </c>
      <c r="G42" s="115" t="s">
        <v>167</v>
      </c>
      <c r="H42" s="91"/>
      <c r="I42" s="91"/>
      <c r="J42" s="97"/>
      <c r="K42" s="465">
        <v>7.2346618662699298E-3</v>
      </c>
      <c r="L42" s="465"/>
      <c r="M42" s="465"/>
      <c r="N42" s="465">
        <v>7.2346618662699298E-3</v>
      </c>
      <c r="O42" s="465">
        <v>9.7264540056779831E-3</v>
      </c>
      <c r="P42" s="465"/>
      <c r="Q42" s="465">
        <v>9.7264540056779831E-3</v>
      </c>
      <c r="R42" s="465">
        <v>9.7264540056779831E-3</v>
      </c>
      <c r="S42" s="465">
        <v>9.7264540056779831E-3</v>
      </c>
    </row>
    <row r="43" spans="2:27" x14ac:dyDescent="0.25">
      <c r="F43" s="91" t="s">
        <v>296</v>
      </c>
      <c r="G43" s="115" t="s">
        <v>167</v>
      </c>
      <c r="H43" s="91"/>
      <c r="I43" s="91"/>
      <c r="J43" s="97"/>
      <c r="K43" s="465">
        <v>0.69946786579381059</v>
      </c>
      <c r="L43" s="466"/>
      <c r="M43" s="466"/>
      <c r="N43" s="465">
        <v>0.69946786579381059</v>
      </c>
      <c r="O43" s="465">
        <v>0.58082759369516379</v>
      </c>
      <c r="P43" s="466"/>
      <c r="Q43" s="465">
        <v>0.58082759369516379</v>
      </c>
      <c r="R43" s="465">
        <v>0.58082759369516379</v>
      </c>
      <c r="S43" s="465">
        <v>0.58082759369516379</v>
      </c>
    </row>
    <row r="45" spans="2:27" x14ac:dyDescent="0.25">
      <c r="B45" s="70" t="s">
        <v>231</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232</v>
      </c>
      <c r="G47" s="6" t="s">
        <v>55</v>
      </c>
      <c r="H47" s="104">
        <f t="array" ref="H47">SUM(IF(ISERROR(H15:AA44), 1))</f>
        <v>0</v>
      </c>
    </row>
    <row r="49" spans="2:27" x14ac:dyDescent="0.25">
      <c r="E49" t="s">
        <v>297</v>
      </c>
      <c r="G49" s="6" t="s">
        <v>55</v>
      </c>
      <c r="H49" s="104">
        <f>IF(K19 = 1, 0, 1)</f>
        <v>0</v>
      </c>
    </row>
    <row r="51" spans="2:27" x14ac:dyDescent="0.25">
      <c r="E51" s="60" t="s">
        <v>298</v>
      </c>
    </row>
    <row r="52" spans="2:27" x14ac:dyDescent="0.25">
      <c r="E52" s="71" t="s">
        <v>299</v>
      </c>
    </row>
    <row r="53" spans="2:27" x14ac:dyDescent="0.25">
      <c r="F53" s="90" t="s">
        <v>300</v>
      </c>
      <c r="G53" s="105" t="s">
        <v>55</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192</v>
      </c>
      <c r="G54" s="62" t="s">
        <v>55</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239</v>
      </c>
      <c r="G56" s="6" t="s">
        <v>55</v>
      </c>
      <c r="H56" s="108">
        <f>SUM(H47:H54)</f>
        <v>0</v>
      </c>
    </row>
    <row r="58" spans="2:27" x14ac:dyDescent="0.25">
      <c r="B58" s="70" t="s">
        <v>106</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6">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K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36"/>
  <sheetViews>
    <sheetView showGridLines="0" zoomScale="80" zoomScaleNormal="80" workbookViewId="0">
      <pane ySplit="5" topLeftCell="A6" activePane="bottomLeft" state="frozen"/>
      <selection activeCell="A4" sqref="A4"/>
      <selection pane="bottomLeft" activeCell="A4" sqref="A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30.710937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SP Distribution - One</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142</v>
      </c>
      <c r="C5" s="85"/>
      <c r="D5" s="85"/>
      <c r="E5" s="85"/>
      <c r="F5" s="85"/>
      <c r="G5" s="137" t="s">
        <v>143</v>
      </c>
      <c r="H5" s="133" t="s">
        <v>144</v>
      </c>
      <c r="J5" s="86" t="s">
        <v>145</v>
      </c>
    </row>
    <row r="6" spans="1:27" x14ac:dyDescent="0.25">
      <c r="G6" s="46"/>
    </row>
    <row r="7" spans="1:27" x14ac:dyDescent="0.25">
      <c r="B7" s="70" t="s">
        <v>10</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301</v>
      </c>
      <c r="G9" s="46"/>
    </row>
    <row r="10" spans="1:27" x14ac:dyDescent="0.25">
      <c r="G10" s="46"/>
    </row>
    <row r="11" spans="1:27" x14ac:dyDescent="0.25">
      <c r="B11" s="70" t="s">
        <v>60</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302</v>
      </c>
      <c r="E15" s="60"/>
      <c r="G15" s="46"/>
      <c r="I15" t="s">
        <v>154</v>
      </c>
      <c r="J15" t="s">
        <v>303</v>
      </c>
    </row>
    <row r="16" spans="1:27" x14ac:dyDescent="0.25">
      <c r="E16" s="93" t="s">
        <v>296</v>
      </c>
      <c r="F16" s="93"/>
      <c r="G16" s="138" t="s">
        <v>304</v>
      </c>
      <c r="H16" s="448">
        <v>255</v>
      </c>
    </row>
    <row r="17" spans="3:27" x14ac:dyDescent="0.25">
      <c r="E17" s="89" t="s">
        <v>305</v>
      </c>
      <c r="F17" s="89"/>
      <c r="G17" s="46" t="s">
        <v>304</v>
      </c>
      <c r="H17" s="445">
        <v>3945.5</v>
      </c>
    </row>
    <row r="18" spans="3:27" x14ac:dyDescent="0.25">
      <c r="E18" s="96" t="s">
        <v>257</v>
      </c>
      <c r="F18" s="96"/>
      <c r="G18" s="139" t="s">
        <v>304</v>
      </c>
      <c r="H18" s="449">
        <v>4559.5</v>
      </c>
    </row>
    <row r="19" spans="3:27" x14ac:dyDescent="0.25">
      <c r="G19" s="46"/>
      <c r="H19" s="101"/>
    </row>
    <row r="20" spans="3:27" x14ac:dyDescent="0.25">
      <c r="D20" s="60" t="s">
        <v>306</v>
      </c>
      <c r="E20" s="60"/>
      <c r="G20" s="46"/>
      <c r="H20" s="101"/>
      <c r="I20" t="s">
        <v>154</v>
      </c>
      <c r="J20" t="s">
        <v>303</v>
      </c>
    </row>
    <row r="21" spans="3:27" x14ac:dyDescent="0.25">
      <c r="E21" s="90" t="s">
        <v>294</v>
      </c>
      <c r="F21" s="90"/>
      <c r="G21" s="138" t="s">
        <v>304</v>
      </c>
      <c r="H21" s="448">
        <v>783</v>
      </c>
    </row>
    <row r="22" spans="3:27" x14ac:dyDescent="0.25">
      <c r="E22" t="s">
        <v>295</v>
      </c>
      <c r="G22" s="46" t="s">
        <v>304</v>
      </c>
      <c r="H22" s="445">
        <v>3417.5</v>
      </c>
    </row>
    <row r="23" spans="3:27" x14ac:dyDescent="0.25">
      <c r="D23" t="s">
        <v>1172</v>
      </c>
      <c r="E23" s="91" t="s">
        <v>257</v>
      </c>
      <c r="F23" s="91"/>
      <c r="G23" s="139" t="s">
        <v>304</v>
      </c>
      <c r="H23" s="449">
        <v>4559.5</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307</v>
      </c>
      <c r="E27" s="71"/>
      <c r="G27" s="46"/>
    </row>
    <row r="28" spans="3:27" x14ac:dyDescent="0.25">
      <c r="D28" s="71"/>
      <c r="E28" s="71"/>
      <c r="G28" s="46"/>
    </row>
    <row r="29" spans="3:27" x14ac:dyDescent="0.25">
      <c r="D29" s="60" t="s">
        <v>308</v>
      </c>
      <c r="E29" s="60"/>
      <c r="G29" s="46"/>
      <c r="I29" t="s">
        <v>154</v>
      </c>
      <c r="J29" t="s">
        <v>309</v>
      </c>
    </row>
    <row r="30" spans="3:27" x14ac:dyDescent="0.25">
      <c r="E30" s="93" t="s">
        <v>175</v>
      </c>
      <c r="F30" s="90"/>
      <c r="G30" s="111" t="s">
        <v>167</v>
      </c>
      <c r="H30" s="446">
        <v>0.4003457929697154</v>
      </c>
      <c r="J30" s="229"/>
      <c r="K30" s="456"/>
    </row>
    <row r="31" spans="3:27" x14ac:dyDescent="0.25">
      <c r="E31" s="89" t="s">
        <v>177</v>
      </c>
      <c r="G31" s="113" t="s">
        <v>167</v>
      </c>
      <c r="H31" s="444">
        <v>0.60435784445160401</v>
      </c>
      <c r="J31" s="229"/>
      <c r="K31" s="456"/>
    </row>
    <row r="32" spans="3:27" x14ac:dyDescent="0.25">
      <c r="E32" s="89" t="s">
        <v>178</v>
      </c>
      <c r="G32" s="113" t="s">
        <v>167</v>
      </c>
      <c r="H32" s="444">
        <v>0.33898658826357436</v>
      </c>
      <c r="J32" s="229"/>
      <c r="K32" s="456"/>
    </row>
    <row r="33" spans="3:27" x14ac:dyDescent="0.25">
      <c r="E33" s="96" t="s">
        <v>179</v>
      </c>
      <c r="F33" s="91"/>
      <c r="G33" s="115" t="s">
        <v>167</v>
      </c>
      <c r="H33" s="447">
        <v>0.24054198685119213</v>
      </c>
      <c r="J33" s="229"/>
      <c r="K33" s="456"/>
    </row>
    <row r="34" spans="3:27" x14ac:dyDescent="0.25">
      <c r="G34" s="46"/>
      <c r="H34" s="90"/>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310</v>
      </c>
      <c r="E37" s="71"/>
      <c r="G37" s="46"/>
      <c r="H37" s="46"/>
      <c r="I37" t="s">
        <v>154</v>
      </c>
      <c r="J37" t="s">
        <v>1151</v>
      </c>
      <c r="K37" s="46"/>
      <c r="L37" s="46"/>
      <c r="M37" s="46"/>
      <c r="N37" s="46"/>
      <c r="O37" s="46"/>
      <c r="P37" s="46"/>
      <c r="Q37" s="46"/>
      <c r="R37" s="46"/>
      <c r="S37" s="46"/>
    </row>
    <row r="38" spans="3:27" x14ac:dyDescent="0.25">
      <c r="D38" s="71" t="s">
        <v>1148</v>
      </c>
      <c r="E38" s="71"/>
      <c r="G38" s="46"/>
      <c r="H38" s="46"/>
      <c r="I38" s="46"/>
      <c r="J38" s="140"/>
      <c r="K38" s="46"/>
      <c r="L38" s="46"/>
      <c r="M38" s="46"/>
      <c r="N38" s="46"/>
      <c r="O38" s="46"/>
      <c r="P38" s="46"/>
      <c r="Q38" s="46"/>
      <c r="R38" s="46"/>
      <c r="S38" s="46"/>
    </row>
    <row r="39" spans="3:27" x14ac:dyDescent="0.25">
      <c r="E39" s="60"/>
    </row>
    <row r="40" spans="3:27" x14ac:dyDescent="0.25">
      <c r="E40" t="s">
        <v>311</v>
      </c>
      <c r="G40" t="s">
        <v>277</v>
      </c>
      <c r="H40" s="436">
        <v>346576743.50799942</v>
      </c>
    </row>
    <row r="41" spans="3:27" x14ac:dyDescent="0.25">
      <c r="E41" t="s">
        <v>312</v>
      </c>
      <c r="G41" t="s">
        <v>277</v>
      </c>
      <c r="H41" s="436">
        <v>1735407.3210535399</v>
      </c>
    </row>
    <row r="42" spans="3:27" x14ac:dyDescent="0.25">
      <c r="E42" t="s">
        <v>313</v>
      </c>
      <c r="G42" t="s">
        <v>277</v>
      </c>
      <c r="H42" s="436">
        <v>0</v>
      </c>
    </row>
    <row r="43" spans="3:27" x14ac:dyDescent="0.25">
      <c r="E43" s="91" t="s">
        <v>314</v>
      </c>
      <c r="F43" s="91"/>
      <c r="G43" s="91" t="s">
        <v>283</v>
      </c>
      <c r="H43" s="437">
        <v>1.3511547218960771</v>
      </c>
    </row>
    <row r="44" spans="3:27" x14ac:dyDescent="0.25">
      <c r="E44" t="s">
        <v>315</v>
      </c>
      <c r="G44" t="s">
        <v>277</v>
      </c>
      <c r="H44" s="141">
        <f>SUM(H40:H42)</f>
        <v>348312150.82905298</v>
      </c>
    </row>
    <row r="45" spans="3:27" x14ac:dyDescent="0.25">
      <c r="E45" t="s">
        <v>316</v>
      </c>
      <c r="G45" t="s">
        <v>277</v>
      </c>
      <c r="H45" s="141">
        <f>H44 * (H43 - 1)</f>
        <v>122311456.45740056</v>
      </c>
    </row>
    <row r="46" spans="3:27" x14ac:dyDescent="0.25">
      <c r="H46" s="101"/>
    </row>
    <row r="47" spans="3:27" x14ac:dyDescent="0.25">
      <c r="E47" t="s">
        <v>317</v>
      </c>
      <c r="G47" t="s">
        <v>277</v>
      </c>
      <c r="H47" s="436">
        <v>0</v>
      </c>
    </row>
    <row r="48" spans="3:27" x14ac:dyDescent="0.25">
      <c r="E48" t="s">
        <v>318</v>
      </c>
      <c r="G48" t="s">
        <v>277</v>
      </c>
      <c r="H48" s="436">
        <v>0</v>
      </c>
    </row>
    <row r="49" spans="1:8" x14ac:dyDescent="0.25">
      <c r="E49" t="s">
        <v>319</v>
      </c>
      <c r="G49" t="s">
        <v>277</v>
      </c>
      <c r="H49" s="436">
        <v>0</v>
      </c>
    </row>
    <row r="50" spans="1:8" x14ac:dyDescent="0.25">
      <c r="E50" t="s">
        <v>320</v>
      </c>
      <c r="G50" t="s">
        <v>277</v>
      </c>
      <c r="H50" s="436">
        <v>3783233.2213090155</v>
      </c>
    </row>
    <row r="51" spans="1:8" x14ac:dyDescent="0.25">
      <c r="E51" t="s">
        <v>321</v>
      </c>
      <c r="G51" t="s">
        <v>277</v>
      </c>
      <c r="H51" s="436">
        <v>543839.77556317113</v>
      </c>
    </row>
    <row r="52" spans="1:8" x14ac:dyDescent="0.25">
      <c r="E52" t="s">
        <v>322</v>
      </c>
      <c r="G52" t="s">
        <v>277</v>
      </c>
      <c r="H52" s="436">
        <v>0</v>
      </c>
    </row>
    <row r="53" spans="1:8" x14ac:dyDescent="0.25">
      <c r="E53" t="s">
        <v>868</v>
      </c>
      <c r="G53" t="s">
        <v>277</v>
      </c>
      <c r="H53" s="436">
        <v>596635.98809000081</v>
      </c>
    </row>
    <row r="54" spans="1:8" x14ac:dyDescent="0.25">
      <c r="E54" t="s">
        <v>869</v>
      </c>
      <c r="G54" t="s">
        <v>277</v>
      </c>
      <c r="H54" s="436">
        <v>301897.56459469994</v>
      </c>
    </row>
    <row r="55" spans="1:8" s="15" customFormat="1" x14ac:dyDescent="0.25">
      <c r="A55"/>
      <c r="E55" t="s">
        <v>1142</v>
      </c>
      <c r="G55" s="15" t="s">
        <v>277</v>
      </c>
      <c r="H55" s="436">
        <v>0</v>
      </c>
    </row>
    <row r="56" spans="1:8" x14ac:dyDescent="0.25">
      <c r="E56" s="91" t="s">
        <v>323</v>
      </c>
      <c r="F56" s="91"/>
      <c r="G56" s="91" t="s">
        <v>277</v>
      </c>
      <c r="H56" s="436">
        <v>0</v>
      </c>
    </row>
    <row r="57" spans="1:8" s="15" customFormat="1" x14ac:dyDescent="0.25">
      <c r="E57" s="15" t="s">
        <v>324</v>
      </c>
      <c r="G57" s="15" t="s">
        <v>277</v>
      </c>
      <c r="H57" s="142">
        <f>SUM(H47:H56)</f>
        <v>5225606.5495568877</v>
      </c>
    </row>
    <row r="58" spans="1:8" x14ac:dyDescent="0.25">
      <c r="H58" s="101"/>
    </row>
    <row r="59" spans="1:8" x14ac:dyDescent="0.25">
      <c r="E59" t="s">
        <v>325</v>
      </c>
      <c r="G59" t="s">
        <v>277</v>
      </c>
      <c r="H59" s="436">
        <v>0</v>
      </c>
    </row>
    <row r="60" spans="1:8" x14ac:dyDescent="0.25">
      <c r="E60" t="s">
        <v>326</v>
      </c>
      <c r="G60" t="s">
        <v>277</v>
      </c>
      <c r="H60" s="436">
        <v>0</v>
      </c>
    </row>
    <row r="61" spans="1:8" x14ac:dyDescent="0.25">
      <c r="E61" t="s">
        <v>327</v>
      </c>
      <c r="G61" t="s">
        <v>277</v>
      </c>
      <c r="H61" s="436">
        <v>0</v>
      </c>
    </row>
    <row r="62" spans="1:8" x14ac:dyDescent="0.25">
      <c r="E62" t="s">
        <v>328</v>
      </c>
      <c r="G62" t="s">
        <v>277</v>
      </c>
      <c r="H62" s="436">
        <v>0</v>
      </c>
    </row>
    <row r="63" spans="1:8" x14ac:dyDescent="0.25">
      <c r="E63" t="s">
        <v>329</v>
      </c>
      <c r="G63" t="s">
        <v>277</v>
      </c>
      <c r="H63" s="436">
        <v>0</v>
      </c>
    </row>
    <row r="64" spans="1:8" x14ac:dyDescent="0.25">
      <c r="E64" t="s">
        <v>330</v>
      </c>
      <c r="G64" t="s">
        <v>277</v>
      </c>
      <c r="H64" s="436">
        <v>0</v>
      </c>
    </row>
    <row r="65" spans="5:8" x14ac:dyDescent="0.25">
      <c r="E65" t="s">
        <v>331</v>
      </c>
      <c r="G65" t="s">
        <v>277</v>
      </c>
      <c r="H65" s="436">
        <v>0</v>
      </c>
    </row>
    <row r="66" spans="5:8" x14ac:dyDescent="0.25">
      <c r="E66" t="s">
        <v>332</v>
      </c>
      <c r="G66" t="s">
        <v>277</v>
      </c>
      <c r="H66" s="436">
        <v>0</v>
      </c>
    </row>
    <row r="67" spans="5:8" x14ac:dyDescent="0.25">
      <c r="E67" t="s">
        <v>333</v>
      </c>
      <c r="G67" t="s">
        <v>277</v>
      </c>
      <c r="H67" s="436">
        <v>0</v>
      </c>
    </row>
    <row r="68" spans="5:8" x14ac:dyDescent="0.25">
      <c r="E68" t="s">
        <v>334</v>
      </c>
      <c r="G68" t="s">
        <v>277</v>
      </c>
      <c r="H68" s="436">
        <v>0</v>
      </c>
    </row>
    <row r="69" spans="5:8" x14ac:dyDescent="0.25">
      <c r="E69" s="91" t="s">
        <v>335</v>
      </c>
      <c r="F69" s="91"/>
      <c r="G69" s="91" t="s">
        <v>277</v>
      </c>
      <c r="H69" s="437">
        <v>0</v>
      </c>
    </row>
    <row r="70" spans="5:8" x14ac:dyDescent="0.25">
      <c r="E70" t="s">
        <v>336</v>
      </c>
      <c r="G70" t="s">
        <v>277</v>
      </c>
      <c r="H70" s="141">
        <f>SUM(H59:H69)</f>
        <v>0</v>
      </c>
    </row>
    <row r="71" spans="5:8" x14ac:dyDescent="0.25">
      <c r="H71" s="101"/>
    </row>
    <row r="72" spans="5:8" x14ac:dyDescent="0.25">
      <c r="E72" s="91" t="s">
        <v>337</v>
      </c>
      <c r="F72" s="91"/>
      <c r="G72" s="91" t="s">
        <v>277</v>
      </c>
      <c r="H72" s="437">
        <v>14476712.475277103</v>
      </c>
    </row>
    <row r="73" spans="5:8" x14ac:dyDescent="0.25">
      <c r="E73" t="s">
        <v>338</v>
      </c>
      <c r="G73" t="s">
        <v>277</v>
      </c>
      <c r="H73" s="141">
        <f>H72 + H70 + H57 + H45 + H44</f>
        <v>490325926.31128752</v>
      </c>
    </row>
    <row r="74" spans="5:8" x14ac:dyDescent="0.25">
      <c r="H74" s="101"/>
    </row>
    <row r="75" spans="5:8" x14ac:dyDescent="0.25">
      <c r="E75" t="s">
        <v>339</v>
      </c>
      <c r="G75" t="s">
        <v>277</v>
      </c>
      <c r="H75" s="436">
        <v>0</v>
      </c>
    </row>
    <row r="76" spans="5:8" x14ac:dyDescent="0.25">
      <c r="E76" t="s">
        <v>340</v>
      </c>
      <c r="G76" t="s">
        <v>277</v>
      </c>
      <c r="H76" s="436">
        <v>882075.73327079031</v>
      </c>
    </row>
    <row r="77" spans="5:8" x14ac:dyDescent="0.25">
      <c r="E77" t="s">
        <v>341</v>
      </c>
      <c r="G77" t="s">
        <v>277</v>
      </c>
      <c r="H77" s="436">
        <v>0</v>
      </c>
    </row>
    <row r="78" spans="5:8" x14ac:dyDescent="0.25">
      <c r="E78" t="s">
        <v>342</v>
      </c>
      <c r="G78" t="s">
        <v>277</v>
      </c>
      <c r="H78" s="436">
        <v>0</v>
      </c>
    </row>
    <row r="79" spans="5:8" x14ac:dyDescent="0.25">
      <c r="E79" s="91" t="s">
        <v>343</v>
      </c>
      <c r="F79" s="91"/>
      <c r="G79" s="91" t="s">
        <v>277</v>
      </c>
      <c r="H79" s="437">
        <v>0</v>
      </c>
    </row>
    <row r="80" spans="5:8" x14ac:dyDescent="0.25">
      <c r="E80" s="91" t="s">
        <v>344</v>
      </c>
      <c r="F80" s="91"/>
      <c r="G80" s="91" t="s">
        <v>277</v>
      </c>
      <c r="H80" s="143">
        <f>SUM(H75:H79)</f>
        <v>882075.73327079031</v>
      </c>
    </row>
    <row r="81" spans="3:27" x14ac:dyDescent="0.25">
      <c r="E81" t="s">
        <v>345</v>
      </c>
      <c r="G81" t="s">
        <v>277</v>
      </c>
      <c r="H81" s="144">
        <f>H73+H80</f>
        <v>491208002.04455829</v>
      </c>
    </row>
    <row r="82" spans="3:27" x14ac:dyDescent="0.25">
      <c r="H82" s="101"/>
    </row>
    <row r="83" spans="3:27" x14ac:dyDescent="0.25">
      <c r="E83" t="s">
        <v>346</v>
      </c>
      <c r="G83" t="s">
        <v>277</v>
      </c>
      <c r="H83" s="436">
        <v>11851190.871007122</v>
      </c>
      <c r="J83" s="457"/>
      <c r="K83" s="458"/>
    </row>
    <row r="84" spans="3:27" x14ac:dyDescent="0.25">
      <c r="E84" t="s">
        <v>347</v>
      </c>
      <c r="G84" t="s">
        <v>277</v>
      </c>
      <c r="H84" s="436">
        <v>0</v>
      </c>
      <c r="J84" s="463"/>
    </row>
    <row r="85" spans="3:27" x14ac:dyDescent="0.25">
      <c r="E85" t="s">
        <v>348</v>
      </c>
      <c r="G85" t="s">
        <v>277</v>
      </c>
      <c r="H85" s="436">
        <v>0</v>
      </c>
      <c r="J85" s="463"/>
    </row>
    <row r="86" spans="3:27" x14ac:dyDescent="0.25">
      <c r="E86" s="91" t="s">
        <v>349</v>
      </c>
      <c r="F86" s="91"/>
      <c r="G86" s="91" t="s">
        <v>277</v>
      </c>
      <c r="H86" s="437">
        <v>0</v>
      </c>
    </row>
    <row r="87" spans="3:27" x14ac:dyDescent="0.25">
      <c r="E87" t="s">
        <v>350</v>
      </c>
      <c r="G87" t="s">
        <v>277</v>
      </c>
      <c r="H87" s="141">
        <f>SUM(H83:H86)</f>
        <v>11851190.871007122</v>
      </c>
    </row>
    <row r="88" spans="3:27" x14ac:dyDescent="0.25">
      <c r="E88" s="90" t="s">
        <v>351</v>
      </c>
      <c r="F88" s="90"/>
      <c r="G88" s="90" t="s">
        <v>277</v>
      </c>
      <c r="H88" s="145">
        <f>H81-H87</f>
        <v>479356811.17355114</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352</v>
      </c>
      <c r="G92" t="s">
        <v>167</v>
      </c>
      <c r="H92" s="450">
        <v>4.9000000000000002E-2</v>
      </c>
      <c r="I92" t="s">
        <v>154</v>
      </c>
      <c r="J92" s="3" t="s">
        <v>165</v>
      </c>
    </row>
    <row r="93" spans="3:27" x14ac:dyDescent="0.25">
      <c r="E93" s="89" t="s">
        <v>127</v>
      </c>
      <c r="G93" s="89" t="s">
        <v>353</v>
      </c>
      <c r="H93" s="428">
        <v>365</v>
      </c>
    </row>
    <row r="94" spans="3:27" x14ac:dyDescent="0.25">
      <c r="E94" t="s">
        <v>354</v>
      </c>
      <c r="G94" t="s">
        <v>147</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355</v>
      </c>
      <c r="G98" t="s">
        <v>356</v>
      </c>
      <c r="H98" s="436">
        <v>28092337.073884003</v>
      </c>
      <c r="I98" t="s">
        <v>154</v>
      </c>
      <c r="J98" t="s">
        <v>357</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358</v>
      </c>
      <c r="F102" s="60"/>
      <c r="H102" s="193"/>
      <c r="I102" t="s">
        <v>154</v>
      </c>
      <c r="J102" t="s">
        <v>170</v>
      </c>
    </row>
    <row r="103" spans="2:27" x14ac:dyDescent="0.25">
      <c r="F103" s="453" t="s">
        <v>359</v>
      </c>
      <c r="G103" s="90" t="s">
        <v>356</v>
      </c>
      <c r="H103" s="436">
        <v>30251739.372233275</v>
      </c>
    </row>
    <row r="104" spans="2:27" x14ac:dyDescent="0.25">
      <c r="F104" s="454" t="s">
        <v>360</v>
      </c>
      <c r="G104" t="s">
        <v>356</v>
      </c>
      <c r="H104" s="436">
        <v>141403070.68795109</v>
      </c>
      <c r="R104" s="100"/>
      <c r="S104" s="100"/>
    </row>
    <row r="105" spans="2:27" x14ac:dyDescent="0.25">
      <c r="F105" s="455" t="s">
        <v>361</v>
      </c>
      <c r="G105" s="91" t="s">
        <v>356</v>
      </c>
      <c r="H105" s="437">
        <v>41279187.387781531</v>
      </c>
      <c r="R105" s="100"/>
      <c r="S105" s="100"/>
    </row>
    <row r="107" spans="2:27" x14ac:dyDescent="0.25">
      <c r="B107" s="70" t="s">
        <v>231</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232</v>
      </c>
      <c r="G109" s="6" t="s">
        <v>55</v>
      </c>
      <c r="H109" s="104">
        <f t="array" ref="H109">SUM(IF(ISERROR(H6:H106), 1))</f>
        <v>0</v>
      </c>
    </row>
    <row r="111" spans="2:27" x14ac:dyDescent="0.25">
      <c r="E111" s="60" t="s">
        <v>362</v>
      </c>
    </row>
    <row r="112" spans="2:27" x14ac:dyDescent="0.25">
      <c r="F112" s="90" t="s">
        <v>363</v>
      </c>
      <c r="G112" s="105" t="s">
        <v>55</v>
      </c>
      <c r="H112" s="106">
        <f>IF(SUM(H16:H18) = hours_in_year, 0, 1)</f>
        <v>0</v>
      </c>
    </row>
    <row r="113" spans="2:27" x14ac:dyDescent="0.25">
      <c r="F113" s="91" t="s">
        <v>364</v>
      </c>
      <c r="G113" s="62" t="s">
        <v>55</v>
      </c>
      <c r="H113" s="107">
        <f>IF(SUM(H21:H23) = hours_in_year, 0, 1)</f>
        <v>0</v>
      </c>
    </row>
    <row r="115" spans="2:27" x14ac:dyDescent="0.25">
      <c r="E115" t="s">
        <v>239</v>
      </c>
      <c r="G115" s="6" t="s">
        <v>55</v>
      </c>
      <c r="H115" s="108">
        <f>SUM(H109,H112:H113)</f>
        <v>0</v>
      </c>
    </row>
    <row r="117" spans="2:27" x14ac:dyDescent="0.25">
      <c r="B117" s="70" t="s">
        <v>106</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4">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21:H23 H16:H18 H98 H103:H105"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http://purl.org/dc/dcmitype/"/>
    <ds:schemaRef ds:uri="http://schemas.microsoft.com/office/2006/metadata/properties"/>
    <ds:schemaRef ds:uri="dcbf8a88-e063-4a69-82e9-42d02808f636"/>
    <ds:schemaRef ds:uri="df11e38d-df47-44a9-bb81-9cb5331e96c9"/>
    <ds:schemaRef ds:uri="http://purl.org/dc/elements/1.1/"/>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Boyle, Joe</cp:lastModifiedBy>
  <cp:revision/>
  <dcterms:created xsi:type="dcterms:W3CDTF">2017-07-12T09:37:31Z</dcterms:created>
  <dcterms:modified xsi:type="dcterms:W3CDTF">2023-12-27T16:42:06Z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2023-12-27T16:42:05Z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833059e1-65ee-46b8-9efb-26fff7d121ab</vt:lpwstr>
  </property>
  <property fmtid="{D5CDD505-2E9C-101B-9397-08002B2CF9AE}" pid="9" name="MSIP_Label_019c027e-33b7-45fc-a572-8ffa5d09ec36_ContentBits">
    <vt:lpwstr>2</vt:lpwstr>
  </property>
</Properties>
</file>