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Q:\Licence &amp; Revenue\01 Licence\01 AIP\01 ED\2025-26\Final\Submissions\"/>
    </mc:Choice>
  </mc:AlternateContent>
  <xr:revisionPtr revIDLastSave="0" documentId="13_ncr:1_{81F31D08-8767-4EF2-AD39-5B81379941A2}" xr6:coauthVersionLast="47" xr6:coauthVersionMax="47" xr10:uidLastSave="{00000000-0000-0000-0000-000000000000}"/>
  <bookViews>
    <workbookView xWindow="-110" yWindow="-110" windowWidth="19420" windowHeight="10300" tabRatio="807" firstSheet="3" activeTab="1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venue" sheetId="16" r:id="rId12"/>
    <sheet name="ReturnAdj" sheetId="125" r:id="rId13"/>
    <sheet name="AR" sheetId="101" r:id="rId14"/>
    <sheet name="Annual Inflation" sheetId="32" r:id="rId15"/>
    <sheet name="Monthly Inflation" sheetId="33" r:id="rId16"/>
    <sheet name="Checks" sheetId="86" r:id="rId17"/>
    <sheet name="SPD" sheetId="117" r:id="rId18"/>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R283" i="106" l="1"/>
  <c r="AR77" i="15" s="1"/>
  <c r="H353" i="5" l="1"/>
  <c r="AV96" i="117"/>
  <c r="AJ54" i="126" l="1"/>
  <c r="AK52" i="126"/>
  <c r="AJ52" i="126"/>
  <c r="AJ42" i="126"/>
  <c r="AJ43" i="126" s="1"/>
  <c r="W12" i="126"/>
  <c r="V12" i="126"/>
  <c r="U12" i="126"/>
  <c r="T12" i="126"/>
  <c r="S12" i="126"/>
  <c r="R12" i="126"/>
  <c r="Q12" i="126"/>
  <c r="P12" i="126"/>
  <c r="O12" i="126"/>
  <c r="N12" i="126"/>
  <c r="M12" i="126"/>
  <c r="L12" i="126"/>
  <c r="K12" i="126"/>
  <c r="AM1" i="126"/>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O96" i="106"/>
  <c r="AR96" i="106"/>
  <c r="AS96" i="106"/>
  <c r="AL96" i="106"/>
  <c r="AM96" i="106"/>
  <c r="AU9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R186" i="106"/>
  <c r="I119" i="5" s="1"/>
  <c r="AR185" i="106"/>
  <c r="I118" i="5" s="1"/>
  <c r="I235" i="106"/>
  <c r="I234" i="106"/>
  <c r="AR223" i="106"/>
  <c r="AU223" i="106"/>
  <c r="AT223" i="106"/>
  <c r="AV223" i="106"/>
  <c r="AS223"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R344" i="106"/>
  <c r="AR346" i="106"/>
  <c r="AR348" i="106"/>
  <c r="AR345" i="106"/>
  <c r="AQ403" i="106"/>
  <c r="AQ114" i="126" s="1"/>
  <c r="AQ414" i="106"/>
  <c r="AQ134" i="126" s="1"/>
  <c r="AO414" i="106"/>
  <c r="AO134" i="126" s="1"/>
  <c r="AR266" i="106"/>
  <c r="AR250" i="5" s="1"/>
  <c r="AQ402" i="106"/>
  <c r="AQ113" i="126" s="1"/>
  <c r="AV270" i="106"/>
  <c r="AV254" i="5" s="1"/>
  <c r="AP367" i="106"/>
  <c r="AP59" i="126" s="1"/>
  <c r="AT270" i="106"/>
  <c r="AT254" i="5" s="1"/>
  <c r="AR279" i="106"/>
  <c r="AS270" i="106"/>
  <c r="AS254" i="5" s="1"/>
  <c r="AV265" i="106"/>
  <c r="AV249" i="5" s="1"/>
  <c r="AQ391" i="106"/>
  <c r="AQ94" i="126" s="1"/>
  <c r="AU265" i="106"/>
  <c r="AU249" i="5" s="1"/>
  <c r="AQ390" i="106"/>
  <c r="AQ93" i="126" s="1"/>
  <c r="AR292" i="106"/>
  <c r="AQ378" i="106"/>
  <c r="AQ76" i="126" s="1"/>
  <c r="AP416" i="106"/>
  <c r="AP138" i="126" s="1"/>
  <c r="AQ377" i="106"/>
  <c r="AQ75" i="126" s="1"/>
  <c r="AQ406" i="106"/>
  <c r="AQ119" i="126" s="1"/>
  <c r="AQ394" i="106"/>
  <c r="AQ99" i="126" s="1"/>
  <c r="AQ380" i="106"/>
  <c r="AQ78" i="126" s="1"/>
  <c r="AP371" i="106"/>
  <c r="AP65" i="126" s="1"/>
  <c r="AR341" i="106"/>
  <c r="AR20" i="126" s="1"/>
  <c r="AR171" i="106"/>
  <c r="AP368" i="106"/>
  <c r="AP60" i="126" s="1"/>
  <c r="AT279" i="106"/>
  <c r="AS170" i="106"/>
  <c r="AR270" i="106"/>
  <c r="AR254" i="5" s="1"/>
  <c r="AT265" i="106"/>
  <c r="AT249" i="5" s="1"/>
  <c r="AQ413" i="106"/>
  <c r="AQ133" i="126" s="1"/>
  <c r="AP402" i="106"/>
  <c r="AP113" i="126" s="1"/>
  <c r="AP390" i="106"/>
  <c r="AP93" i="126" s="1"/>
  <c r="AP377" i="106"/>
  <c r="AP75" i="126" s="1"/>
  <c r="AV278" i="106"/>
  <c r="AT269" i="106"/>
  <c r="AT253" i="5" s="1"/>
  <c r="AR264" i="106"/>
  <c r="AR247" i="5" s="1"/>
  <c r="AP413" i="106"/>
  <c r="AP133" i="126" s="1"/>
  <c r="AQ400" i="106"/>
  <c r="AQ109" i="126" s="1"/>
  <c r="AQ388" i="106"/>
  <c r="AQ89" i="126" s="1"/>
  <c r="AQ375" i="106"/>
  <c r="AQ71" i="126" s="1"/>
  <c r="AU278" i="106"/>
  <c r="AR269" i="106"/>
  <c r="AR253" i="5" s="1"/>
  <c r="AP418" i="106"/>
  <c r="AP140" i="126" s="1"/>
  <c r="AQ409" i="106"/>
  <c r="AQ124" i="126" s="1"/>
  <c r="AQ397" i="106"/>
  <c r="AQ104" i="126" s="1"/>
  <c r="AQ385" i="106"/>
  <c r="AQ84" i="126" s="1"/>
  <c r="AP373" i="106"/>
  <c r="AP67" i="126" s="1"/>
  <c r="AQ351" i="106"/>
  <c r="AQ32" i="126" s="1"/>
  <c r="AV171" i="106"/>
  <c r="AQ269" i="106"/>
  <c r="AQ253" i="5" s="1"/>
  <c r="AP417" i="106"/>
  <c r="AP139" i="126" s="1"/>
  <c r="AQ408" i="106"/>
  <c r="AQ123" i="126" s="1"/>
  <c r="AQ396" i="106"/>
  <c r="AQ103" i="126" s="1"/>
  <c r="AQ384" i="106"/>
  <c r="AQ83" i="126" s="1"/>
  <c r="AP372" i="106"/>
  <c r="AP66" i="126" s="1"/>
  <c r="AT171" i="106"/>
  <c r="AV266" i="106"/>
  <c r="AV250" i="5" s="1"/>
  <c r="AV292" i="106"/>
  <c r="AQ416" i="106"/>
  <c r="AQ138" i="126" s="1"/>
  <c r="AP408" i="106"/>
  <c r="AP123" i="126" s="1"/>
  <c r="AP396" i="106"/>
  <c r="AP103" i="126" s="1"/>
  <c r="AP384" i="106"/>
  <c r="AP83" i="126" s="1"/>
  <c r="AQ371" i="106"/>
  <c r="AQ65" i="126" s="1"/>
  <c r="AS171" i="106"/>
  <c r="I273" i="106"/>
  <c r="I257" i="5" s="1"/>
  <c r="AQ270" i="106"/>
  <c r="AQ254" i="5" s="1"/>
  <c r="AU266" i="106"/>
  <c r="AU250" i="5" s="1"/>
  <c r="AU78" i="101"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Q406" i="5" l="1"/>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R284" i="5"/>
  <c r="I239" i="5"/>
  <c r="I18" i="125" s="1"/>
  <c r="AK177" i="5"/>
  <c r="AO177" i="5"/>
  <c r="AQ274" i="5"/>
  <c r="AQ88" i="15" s="1"/>
  <c r="AJ180" i="5"/>
  <c r="AT109" i="5"/>
  <c r="AR282" i="5"/>
  <c r="AT287" i="5"/>
  <c r="AV110" i="5"/>
  <c r="AU282" i="5"/>
  <c r="AR287" i="5"/>
  <c r="I242" i="5"/>
  <c r="I35" i="125" s="1"/>
  <c r="AK180" i="5"/>
  <c r="AO180" i="5"/>
  <c r="AN177" i="5"/>
  <c r="AR109" i="5"/>
  <c r="AU283" i="5"/>
  <c r="AV284" i="5"/>
  <c r="I241" i="5"/>
  <c r="I34" i="125" s="1"/>
  <c r="AL177" i="5"/>
  <c r="AP177" i="5"/>
  <c r="AS282" i="5"/>
  <c r="AR275" i="5"/>
  <c r="AR100" i="15" s="1"/>
  <c r="AV283" i="5"/>
  <c r="AV109" i="5"/>
  <c r="AV287" i="5"/>
  <c r="AR283" i="5"/>
  <c r="AS284" i="5"/>
  <c r="I243" i="5"/>
  <c r="I36" i="125" s="1"/>
  <c r="AL180" i="5"/>
  <c r="AP180" i="5"/>
  <c r="AR110" i="5"/>
  <c r="AI231" i="5"/>
  <c r="AR277" i="5"/>
  <c r="AR213" i="17" s="1"/>
  <c r="AU110" i="5"/>
  <c r="AS283" i="5"/>
  <c r="AS287" i="5"/>
  <c r="AT282" i="5"/>
  <c r="AT110" i="5"/>
  <c r="AS109" i="5"/>
  <c r="AT284" i="5"/>
  <c r="AQ57" i="101"/>
  <c r="I240" i="5"/>
  <c r="I33" i="125" s="1"/>
  <c r="AM177" i="5"/>
  <c r="AQ177" i="5"/>
  <c r="AJ177" i="5"/>
  <c r="AV282" i="5"/>
  <c r="AN180" i="5"/>
  <c r="AU109" i="5"/>
  <c r="AU287" i="5"/>
  <c r="AS110" i="5"/>
  <c r="AT283" i="5"/>
  <c r="AU284" i="5"/>
  <c r="AH231" i="5"/>
  <c r="AM180" i="5"/>
  <c r="AQ180" i="5"/>
  <c r="AQ63" i="17" s="1"/>
  <c r="AQ66" i="17" s="1"/>
  <c r="AV209" i="5"/>
  <c r="AU209" i="5"/>
  <c r="AS209" i="5"/>
  <c r="AT209" i="5"/>
  <c r="AR209" i="5"/>
  <c r="AT210" i="5"/>
  <c r="AS210" i="5"/>
  <c r="AU210" i="5"/>
  <c r="AV210" i="5"/>
  <c r="AR210" i="5"/>
  <c r="AO353" i="5" l="1"/>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S54" i="126"/>
  <c r="AM54" i="126"/>
  <c r="AK54" i="126"/>
  <c r="AO54" i="126"/>
  <c r="AR54" i="126"/>
  <c r="AP54" i="126"/>
  <c r="AL54" i="126"/>
  <c r="AQ54" i="126"/>
  <c r="AN54" i="126"/>
  <c r="AQ41" i="126"/>
  <c r="AR42" i="126"/>
  <c r="AR43" i="126" s="1"/>
  <c r="AR148" i="126" s="1"/>
  <c r="AM182" i="5"/>
  <c r="AP182" i="5"/>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97" i="117"/>
  <c r="AV101" i="117"/>
  <c r="AV82" i="117"/>
  <c r="AV108" i="117"/>
  <c r="AV106" i="117"/>
  <c r="AV86" i="117"/>
  <c r="AV100" i="117"/>
  <c r="AV83" i="117"/>
  <c r="AV107" i="117"/>
  <c r="AV99" i="117"/>
  <c r="AV90" i="117"/>
  <c r="AV103" i="117"/>
  <c r="AV89" i="117"/>
  <c r="AV104" i="117"/>
  <c r="AV87" i="117"/>
  <c r="AV112" i="117"/>
  <c r="AV94" i="117"/>
  <c r="AV78" i="117"/>
  <c r="AV120" i="117"/>
  <c r="AV110" i="117"/>
  <c r="AV92" i="117"/>
  <c r="AV118" i="117"/>
  <c r="AV121" i="117"/>
  <c r="AV109" i="117"/>
  <c r="AV79" i="117"/>
  <c r="AV80" i="117"/>
  <c r="AV113" i="117"/>
  <c r="AV119" i="117"/>
  <c r="AV95" i="117"/>
  <c r="AV98" i="117"/>
  <c r="AV116" i="117"/>
  <c r="AV102" i="117"/>
  <c r="AV91" i="117"/>
  <c r="AV84" i="117"/>
  <c r="AV88" i="117"/>
  <c r="AV85" i="117"/>
  <c r="AV76" i="117"/>
  <c r="AV111" i="117"/>
  <c r="AV93" i="117"/>
  <c r="AV77" i="117"/>
  <c r="AV115" i="117"/>
  <c r="AV114" i="117"/>
  <c r="AV105" i="117"/>
  <c r="AV81" i="117"/>
  <c r="AV117" i="117"/>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V289" i="106"/>
  <c r="AR69" i="106"/>
  <c r="AR17" i="106"/>
  <c r="AS20" i="106"/>
  <c r="AV310" i="106"/>
  <c r="AU20" i="106"/>
  <c r="AS69" i="106"/>
  <c r="AS286" i="106"/>
  <c r="AS67" i="106"/>
  <c r="AV286" i="106"/>
  <c r="AT288" i="106"/>
  <c r="AS18" i="106"/>
  <c r="AT313" i="106"/>
  <c r="AT15" i="106"/>
  <c r="AV313" i="106"/>
  <c r="AS70" i="106"/>
  <c r="AR66" i="106"/>
  <c r="AT286" i="106"/>
  <c r="AU312"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U64" i="106"/>
  <c r="AS71" i="106"/>
  <c r="AV18" i="106"/>
  <c r="AT287" i="106"/>
  <c r="AR313" i="106"/>
  <c r="AU65" i="106"/>
  <c r="AU288" i="106"/>
  <c r="AV314" i="106"/>
  <c r="AT19" i="106"/>
  <c r="AT69" i="106"/>
  <c r="AU16" i="106"/>
  <c r="AV67" i="106"/>
  <c r="AS15" i="106"/>
  <c r="AV65" i="106"/>
  <c r="AR68" i="106"/>
  <c r="AS312" i="106"/>
  <c r="AV311" i="106"/>
  <c r="AU289" i="106"/>
  <c r="AJ246" i="106"/>
  <c r="AM247" i="106"/>
  <c r="I245" i="106"/>
  <c r="AU93" i="106"/>
  <c r="AT120" i="106"/>
  <c r="AT88" i="106"/>
  <c r="AS85" i="106"/>
  <c r="AR104" i="106"/>
  <c r="AQ107" i="106"/>
  <c r="AP80"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V15" i="106"/>
  <c r="AR311" i="106"/>
  <c r="AU173" i="106"/>
  <c r="AT315" i="106"/>
  <c r="AR19" i="106"/>
  <c r="AS68" i="106"/>
  <c r="AV71" i="106"/>
  <c r="AU67" i="106"/>
  <c r="AS289" i="106"/>
  <c r="AU315" i="106"/>
  <c r="AV17" i="106"/>
  <c r="AS315" i="106"/>
  <c r="AR71" i="106"/>
  <c r="AS64" i="106"/>
  <c r="AT66" i="106"/>
  <c r="AV288" i="106"/>
  <c r="AU310" i="106"/>
  <c r="AR286" i="106"/>
  <c r="AR67" i="106"/>
  <c r="AR287" i="106"/>
  <c r="AT309" i="106"/>
  <c r="AR15" i="106"/>
  <c r="AV173" i="106"/>
  <c r="AR312"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V287" i="106"/>
  <c r="AV66" i="106"/>
  <c r="AU66" i="106"/>
  <c r="AR64" i="106"/>
  <c r="AS173" i="106"/>
  <c r="AU286" i="106"/>
  <c r="AT289" i="106"/>
  <c r="AT310" i="106"/>
  <c r="AS313" i="106"/>
  <c r="AV64" i="106"/>
  <c r="AR309" i="106"/>
  <c r="AT314" i="106"/>
  <c r="AR184" i="106"/>
  <c r="I117" i="5" s="1"/>
  <c r="AS310" i="106"/>
  <c r="AU19" i="106"/>
  <c r="AV309"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R18" i="106"/>
  <c r="AT18" i="106"/>
  <c r="AS16" i="106"/>
  <c r="AS19" i="106"/>
  <c r="AU71" i="106"/>
  <c r="AU17" i="106"/>
  <c r="AS287" i="106"/>
  <c r="AT65" i="106"/>
  <c r="AV312" i="106"/>
  <c r="AT6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U311" i="106"/>
  <c r="AR289" i="106"/>
  <c r="AT311" i="106"/>
  <c r="AU287" i="106"/>
  <c r="AT16" i="106"/>
  <c r="AR20" i="106"/>
  <c r="AU70" i="106"/>
  <c r="AU313"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T64" i="106"/>
  <c r="AR70" i="106"/>
  <c r="AT312" i="106"/>
  <c r="AR16" i="106"/>
  <c r="AT70" i="106"/>
  <c r="AS311" i="106"/>
  <c r="AV19" i="106"/>
  <c r="AS65" i="106"/>
  <c r="AR315" i="106"/>
  <c r="AU18" i="106"/>
  <c r="AS309"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S314" i="106"/>
  <c r="AT20" i="106"/>
  <c r="AU314" i="106"/>
  <c r="AV70" i="106"/>
  <c r="AS288" i="106"/>
  <c r="AV20" i="106"/>
  <c r="AV68" i="106"/>
  <c r="AU309" i="106"/>
  <c r="AS66" i="106"/>
  <c r="AV16" i="106"/>
  <c r="AV69" i="106"/>
  <c r="AT67" i="106"/>
  <c r="AU69" i="106"/>
  <c r="AV315" i="106"/>
  <c r="AR310" i="106"/>
  <c r="AS17" i="106"/>
  <c r="AT71" i="106"/>
  <c r="AR288" i="106"/>
  <c r="AV32" i="5" l="1"/>
  <c r="AL422" i="5"/>
  <c r="AQ394" i="5"/>
  <c r="AU426" i="5"/>
  <c r="AT403" i="5"/>
  <c r="AS425" i="5"/>
  <c r="AM387" i="5"/>
  <c r="AN334" i="5" s="1"/>
  <c r="AJ396" i="5"/>
  <c r="AP425" i="5"/>
  <c r="AT393" i="5"/>
  <c r="AL404" i="5"/>
  <c r="AM392" i="5"/>
  <c r="AN339" i="5" s="1"/>
  <c r="AJ227" i="5"/>
  <c r="AT451" i="5"/>
  <c r="AT417" i="5"/>
  <c r="AJ418" i="5"/>
  <c r="AP405" i="5"/>
  <c r="AM389" i="5"/>
  <c r="AN336" i="5" s="1"/>
  <c r="AO395" i="5"/>
  <c r="AL400" i="5"/>
  <c r="AO394" i="5"/>
  <c r="AU416" i="5"/>
  <c r="AU378" i="5"/>
  <c r="AT34" i="5"/>
  <c r="AM397" i="5"/>
  <c r="AN344" i="5" s="1"/>
  <c r="AQ415" i="5"/>
  <c r="AM431" i="5"/>
  <c r="AN378" i="5" s="1"/>
  <c r="AL388" i="5"/>
  <c r="AO387" i="5"/>
  <c r="AM394" i="5"/>
  <c r="AN341" i="5" s="1"/>
  <c r="AR404" i="5"/>
  <c r="AJ404" i="5"/>
  <c r="AO397" i="5"/>
  <c r="AM410" i="5"/>
  <c r="AN357" i="5" s="1"/>
  <c r="AO415" i="5"/>
  <c r="AU394" i="5"/>
  <c r="AT113" i="5"/>
  <c r="AR423" i="5"/>
  <c r="AT412" i="5"/>
  <c r="AM386" i="5"/>
  <c r="AN333" i="5" s="1"/>
  <c r="AO400" i="5"/>
  <c r="AJ423" i="5"/>
  <c r="AR415" i="5"/>
  <c r="AR396" i="5"/>
  <c r="AR428" i="5"/>
  <c r="AR452" i="5"/>
  <c r="AT455" i="5"/>
  <c r="AR451" i="5"/>
  <c r="AT396" i="5"/>
  <c r="AS428" i="5"/>
  <c r="AS421" i="5"/>
  <c r="AU415" i="5"/>
  <c r="AS395" i="5"/>
  <c r="AV372" i="5"/>
  <c r="AT35" i="5"/>
  <c r="AU372" i="5"/>
  <c r="AP426" i="5"/>
  <c r="AQ428" i="5"/>
  <c r="AO386" i="5"/>
  <c r="AL411" i="5"/>
  <c r="AU410" i="5"/>
  <c r="AR392" i="5"/>
  <c r="AM427" i="5"/>
  <c r="AN374" i="5" s="1"/>
  <c r="AT453" i="5"/>
  <c r="AT266" i="5"/>
  <c r="AP397" i="5"/>
  <c r="AJ411" i="5"/>
  <c r="AL417" i="5"/>
  <c r="AQ407" i="5"/>
  <c r="AM398" i="5"/>
  <c r="AN345" i="5" s="1"/>
  <c r="AR403" i="5"/>
  <c r="AR386" i="5"/>
  <c r="AM414" i="5"/>
  <c r="AN361" i="5" s="1"/>
  <c r="AP416" i="5"/>
  <c r="AP227" i="5"/>
  <c r="T226" i="5"/>
  <c r="X227" i="5"/>
  <c r="AD226" i="5"/>
  <c r="O226" i="5"/>
  <c r="O227" i="5"/>
  <c r="W226" i="5"/>
  <c r="AS266" i="5"/>
  <c r="AJ388" i="5"/>
  <c r="AL405" i="5"/>
  <c r="AP409" i="5"/>
  <c r="AS402" i="5"/>
  <c r="AM418" i="5"/>
  <c r="AN365" i="5" s="1"/>
  <c r="AS403" i="5"/>
  <c r="AU34" i="5"/>
  <c r="AJ421" i="5"/>
  <c r="AL426" i="5"/>
  <c r="AP422" i="5"/>
  <c r="AQ424" i="5"/>
  <c r="AU418" i="5"/>
  <c r="AJ401" i="5"/>
  <c r="AP401" i="5"/>
  <c r="AQ227" i="5"/>
  <c r="AU375" i="5"/>
  <c r="AL393" i="5"/>
  <c r="AS398" i="5"/>
  <c r="AQ405" i="5"/>
  <c r="AM384" i="5"/>
  <c r="AN331" i="5" s="1"/>
  <c r="AP389" i="5"/>
  <c r="AJ391" i="5"/>
  <c r="AP424" i="5"/>
  <c r="AU405" i="5"/>
  <c r="AJ419" i="5"/>
  <c r="AR421" i="5"/>
  <c r="AO409" i="5"/>
  <c r="AJ384" i="5"/>
  <c r="AP415" i="5"/>
  <c r="AL420" i="5"/>
  <c r="AS407" i="5"/>
  <c r="AP391" i="5"/>
  <c r="AP430" i="5"/>
  <c r="AJ389" i="5"/>
  <c r="AS450" i="5"/>
  <c r="AS113" i="5"/>
  <c r="AS405" i="5"/>
  <c r="AU423" i="5"/>
  <c r="AP411" i="5"/>
  <c r="AS394" i="5"/>
  <c r="AS418" i="5"/>
  <c r="AT408" i="5"/>
  <c r="AT449" i="5"/>
  <c r="AS267" i="5"/>
  <c r="AV31" i="5"/>
  <c r="AJ428" i="5"/>
  <c r="AT392" i="5"/>
  <c r="AT411" i="5"/>
  <c r="AT398" i="5"/>
  <c r="AV451" i="5"/>
  <c r="AS378" i="5"/>
  <c r="AL418" i="5"/>
  <c r="AJ424" i="5"/>
  <c r="AR424" i="5"/>
  <c r="AJ393" i="5"/>
  <c r="AR394" i="5"/>
  <c r="AQ416" i="5"/>
  <c r="AJ399" i="5"/>
  <c r="AO420" i="5"/>
  <c r="AU422" i="5"/>
  <c r="AS420" i="5"/>
  <c r="AO390" i="5"/>
  <c r="AL226" i="5"/>
  <c r="AS377" i="5"/>
  <c r="AV264" i="5"/>
  <c r="AM388" i="5"/>
  <c r="AN335" i="5" s="1"/>
  <c r="AT429" i="5"/>
  <c r="AL419" i="5"/>
  <c r="AL407" i="5"/>
  <c r="AR390" i="5"/>
  <c r="AS415" i="5"/>
  <c r="AS387" i="5"/>
  <c r="AO402" i="5"/>
  <c r="AQ431" i="5"/>
  <c r="AM226" i="5"/>
  <c r="P226" i="5"/>
  <c r="K227" i="5"/>
  <c r="AE227" i="5"/>
  <c r="R226" i="5"/>
  <c r="AB226" i="5"/>
  <c r="R227" i="5"/>
  <c r="AR450" i="5"/>
  <c r="AT378" i="5"/>
  <c r="AS373" i="5"/>
  <c r="AV375" i="5"/>
  <c r="AS454" i="5"/>
  <c r="AO428" i="5"/>
  <c r="AL398" i="5"/>
  <c r="AO413" i="5"/>
  <c r="AL424" i="5"/>
  <c r="AQ398" i="5"/>
  <c r="AS416" i="5"/>
  <c r="AO407" i="5"/>
  <c r="AL390" i="5"/>
  <c r="AT428" i="5"/>
  <c r="AS372" i="5"/>
  <c r="AL429" i="5"/>
  <c r="AO392" i="5"/>
  <c r="AJ394" i="5"/>
  <c r="AQ421" i="5"/>
  <c r="AR387" i="5"/>
  <c r="AM420" i="5"/>
  <c r="AN367" i="5" s="1"/>
  <c r="AJ400" i="5"/>
  <c r="AQ388" i="5"/>
  <c r="AJ402" i="5"/>
  <c r="AO227" i="5"/>
  <c r="AU451" i="5"/>
  <c r="AL401" i="5"/>
  <c r="AM426" i="5"/>
  <c r="AN373" i="5" s="1"/>
  <c r="AO404" i="5"/>
  <c r="AQ393" i="5"/>
  <c r="AR429" i="5"/>
  <c r="AV452" i="5"/>
  <c r="AU33" i="5"/>
  <c r="AS422" i="5"/>
  <c r="AP400" i="5"/>
  <c r="AQ413" i="5"/>
  <c r="AU402" i="5"/>
  <c r="AR395" i="5"/>
  <c r="AM385" i="5"/>
  <c r="AN332" i="5" s="1"/>
  <c r="AV286" i="5"/>
  <c r="AV282" i="17" s="1"/>
  <c r="AR449" i="5"/>
  <c r="AS453" i="5"/>
  <c r="AV373" i="5"/>
  <c r="AU417" i="5"/>
  <c r="AM416" i="5"/>
  <c r="AN363" i="5" s="1"/>
  <c r="AO414" i="5"/>
  <c r="AL430" i="5"/>
  <c r="AS389" i="5"/>
  <c r="AT409" i="5"/>
  <c r="AT397" i="5"/>
  <c r="AU430" i="5"/>
  <c r="AR265" i="5"/>
  <c r="AO419" i="5"/>
  <c r="AJ416" i="5"/>
  <c r="AU409" i="5"/>
  <c r="AU414" i="5"/>
  <c r="AO427" i="5"/>
  <c r="AT430" i="5"/>
  <c r="AU267" i="5"/>
  <c r="AS31" i="5"/>
  <c r="AV454" i="5"/>
  <c r="AM403" i="5"/>
  <c r="AN350" i="5" s="1"/>
  <c r="AO401" i="5"/>
  <c r="AR422" i="5"/>
  <c r="AQ396" i="5"/>
  <c r="AJ429" i="5"/>
  <c r="AT426" i="5"/>
  <c r="AQ410" i="5"/>
  <c r="AN227" i="5"/>
  <c r="AS34" i="5"/>
  <c r="AU36" i="5"/>
  <c r="AL403" i="5"/>
  <c r="AU386" i="5"/>
  <c r="AO403" i="5"/>
  <c r="AU397" i="5"/>
  <c r="AP419" i="5"/>
  <c r="AR426" i="5"/>
  <c r="M227" i="5"/>
  <c r="S226" i="5"/>
  <c r="Y227" i="5"/>
  <c r="AI226" i="5"/>
  <c r="AG226" i="5"/>
  <c r="L226" i="5"/>
  <c r="AR266" i="5"/>
  <c r="AV455" i="5"/>
  <c r="AU376" i="5"/>
  <c r="AV377" i="5"/>
  <c r="AP423" i="5"/>
  <c r="AQ425" i="5"/>
  <c r="AR417" i="5"/>
  <c r="AM430" i="5"/>
  <c r="AN377" i="5" s="1"/>
  <c r="AT427" i="5"/>
  <c r="AM413" i="5"/>
  <c r="AN360" i="5" s="1"/>
  <c r="AL414" i="5"/>
  <c r="AP404" i="5"/>
  <c r="AM390" i="5"/>
  <c r="AN337" i="5" s="1"/>
  <c r="AU427" i="5"/>
  <c r="AS449" i="5"/>
  <c r="AR455" i="5"/>
  <c r="AQ395" i="5"/>
  <c r="AT418" i="5"/>
  <c r="AM421" i="5"/>
  <c r="AN368" i="5" s="1"/>
  <c r="AS414" i="5"/>
  <c r="AJ397" i="5"/>
  <c r="AP388" i="5"/>
  <c r="AR410" i="5"/>
  <c r="AL389" i="5"/>
  <c r="AO399" i="5"/>
  <c r="AU286" i="5"/>
  <c r="AU282" i="17" s="1"/>
  <c r="AU377" i="5"/>
  <c r="AR267" i="5"/>
  <c r="AJ407" i="5"/>
  <c r="AP393" i="5"/>
  <c r="AU419" i="5"/>
  <c r="AO431" i="5"/>
  <c r="AL409" i="5"/>
  <c r="AP417" i="5"/>
  <c r="AS429" i="5"/>
  <c r="AS396" i="5"/>
  <c r="AS265" i="5"/>
  <c r="AS35" i="5"/>
  <c r="AR34" i="5"/>
  <c r="AT415" i="5"/>
  <c r="AQ400" i="5"/>
  <c r="AR407" i="5"/>
  <c r="AR400" i="5"/>
  <c r="AL431" i="5"/>
  <c r="AO412" i="5"/>
  <c r="AL227" i="5"/>
  <c r="AT450" i="5"/>
  <c r="AU373" i="5"/>
  <c r="AV265" i="5"/>
  <c r="AM400" i="5"/>
  <c r="AN347" i="5" s="1"/>
  <c r="AO418" i="5"/>
  <c r="AM393" i="5"/>
  <c r="AN340" i="5" s="1"/>
  <c r="AP414" i="5"/>
  <c r="AT423" i="5"/>
  <c r="AO429" i="5"/>
  <c r="AU420" i="5"/>
  <c r="AU413" i="5"/>
  <c r="AS286" i="5"/>
  <c r="AS282" i="17" s="1"/>
  <c r="AV113" i="5"/>
  <c r="AR264" i="5"/>
  <c r="AU450" i="5"/>
  <c r="AJ405" i="5"/>
  <c r="AM422" i="5"/>
  <c r="AN369" i="5" s="1"/>
  <c r="AP398" i="5"/>
  <c r="AU424" i="5"/>
  <c r="AL391" i="5"/>
  <c r="AJ427" i="5"/>
  <c r="AR413" i="5"/>
  <c r="AU403" i="5"/>
  <c r="AM391" i="5"/>
  <c r="AN338" i="5" s="1"/>
  <c r="AP413" i="5"/>
  <c r="AS399" i="5"/>
  <c r="AS419" i="5"/>
  <c r="AR427" i="5"/>
  <c r="AL384" i="5"/>
  <c r="AT416" i="5"/>
  <c r="AR454" i="5"/>
  <c r="AS264" i="5"/>
  <c r="AJ392" i="5"/>
  <c r="AU391" i="5"/>
  <c r="AQ397" i="5"/>
  <c r="AQ409" i="5"/>
  <c r="AU388" i="5"/>
  <c r="AQ414" i="5"/>
  <c r="AS388" i="5"/>
  <c r="AJ385" i="5"/>
  <c r="Z227" i="5"/>
  <c r="AI227" i="5"/>
  <c r="V226" i="5"/>
  <c r="AF227" i="5"/>
  <c r="N226" i="5"/>
  <c r="AH226" i="5"/>
  <c r="AS33" i="5"/>
  <c r="AT374" i="5"/>
  <c r="AL421" i="5"/>
  <c r="AS409" i="5"/>
  <c r="AR405" i="5"/>
  <c r="AS430" i="5"/>
  <c r="AP392" i="5"/>
  <c r="AU390" i="5"/>
  <c r="AO398" i="5"/>
  <c r="AQ429" i="5"/>
  <c r="AV35" i="5"/>
  <c r="AT377" i="5"/>
  <c r="AT371" i="5"/>
  <c r="AR430" i="5"/>
  <c r="AT387" i="5"/>
  <c r="AP399" i="5"/>
  <c r="AT431" i="5"/>
  <c r="AQ387" i="5"/>
  <c r="AS392" i="5"/>
  <c r="AP402" i="5"/>
  <c r="AU265" i="5"/>
  <c r="AQ426" i="5"/>
  <c r="AP412" i="5"/>
  <c r="AQ402" i="5"/>
  <c r="AT389" i="5"/>
  <c r="AT421" i="5"/>
  <c r="I221" i="5"/>
  <c r="AS426" i="5"/>
  <c r="AS423" i="5"/>
  <c r="AR113" i="5"/>
  <c r="AL416" i="5"/>
  <c r="AU389" i="5"/>
  <c r="AO417" i="5"/>
  <c r="AQ418" i="5"/>
  <c r="AN226" i="5"/>
  <c r="AV371" i="5"/>
  <c r="AQ419" i="5"/>
  <c r="AQ420" i="5"/>
  <c r="AU407" i="5"/>
  <c r="AP394" i="5"/>
  <c r="AO226" i="5"/>
  <c r="AV266" i="5"/>
  <c r="AU374" i="5"/>
  <c r="AM412" i="5"/>
  <c r="AN359" i="5" s="1"/>
  <c r="AO391" i="5"/>
  <c r="AQ412" i="5"/>
  <c r="AL423" i="5"/>
  <c r="AL402" i="5"/>
  <c r="AO425" i="5"/>
  <c r="AQ404" i="5"/>
  <c r="AR388" i="5"/>
  <c r="AS452" i="5"/>
  <c r="AV374" i="5"/>
  <c r="AU266" i="5"/>
  <c r="AQ423" i="5"/>
  <c r="AS401" i="5"/>
  <c r="AT394" i="5"/>
  <c r="AU393" i="5"/>
  <c r="AT424" i="5"/>
  <c r="AO388" i="5"/>
  <c r="AM402" i="5"/>
  <c r="AN349" i="5" s="1"/>
  <c r="AU421" i="5"/>
  <c r="AS374" i="5"/>
  <c r="AS36" i="5"/>
  <c r="AL396" i="5"/>
  <c r="AS386" i="5"/>
  <c r="AT407" i="5"/>
  <c r="AU401" i="5"/>
  <c r="AL392" i="5"/>
  <c r="AR419" i="5"/>
  <c r="AS431" i="5"/>
  <c r="S227" i="5"/>
  <c r="Z226" i="5"/>
  <c r="AB227" i="5"/>
  <c r="N227" i="5"/>
  <c r="I212" i="5"/>
  <c r="Q227" i="5"/>
  <c r="AV36" i="5"/>
  <c r="AS410" i="5"/>
  <c r="AT414" i="5"/>
  <c r="AR418" i="5"/>
  <c r="AP418" i="5"/>
  <c r="AR399" i="5"/>
  <c r="AO411" i="5"/>
  <c r="I228" i="5"/>
  <c r="AT452" i="5"/>
  <c r="AS413" i="5"/>
  <c r="AQ408" i="5"/>
  <c r="AJ420" i="5"/>
  <c r="AM429" i="5"/>
  <c r="AN376" i="5" s="1"/>
  <c r="AR411" i="5"/>
  <c r="AT391" i="5"/>
  <c r="AR397" i="5"/>
  <c r="AM417" i="5"/>
  <c r="AN364" i="5" s="1"/>
  <c r="AQ422" i="5"/>
  <c r="AJ422" i="5"/>
  <c r="AU411" i="5"/>
  <c r="AO405" i="5"/>
  <c r="I220" i="5"/>
  <c r="AT375" i="5"/>
  <c r="AT372" i="5"/>
  <c r="AS32" i="5"/>
  <c r="AS411" i="5"/>
  <c r="AT400" i="5"/>
  <c r="AL412" i="5"/>
  <c r="AJ408" i="5"/>
  <c r="AP407" i="5"/>
  <c r="AR398" i="5"/>
  <c r="AT267" i="5"/>
  <c r="AT410" i="5"/>
  <c r="AR391" i="5"/>
  <c r="AJ386" i="5"/>
  <c r="AP226" i="5"/>
  <c r="AT373" i="5"/>
  <c r="AV33" i="5"/>
  <c r="AV378" i="5"/>
  <c r="AP427" i="5"/>
  <c r="AS412" i="5"/>
  <c r="AO396" i="5"/>
  <c r="AL385" i="5"/>
  <c r="AO423" i="5"/>
  <c r="AQ389" i="5"/>
  <c r="AJ412" i="5"/>
  <c r="AR393" i="5"/>
  <c r="AS424" i="5"/>
  <c r="AP390" i="5"/>
  <c r="I218" i="5"/>
  <c r="AU32" i="5"/>
  <c r="AR453" i="5"/>
  <c r="AR420" i="5"/>
  <c r="AT405" i="5"/>
  <c r="AT419" i="5"/>
  <c r="AQ430" i="5"/>
  <c r="AL387" i="5"/>
  <c r="AP420" i="5"/>
  <c r="AU412" i="5"/>
  <c r="AS391" i="5"/>
  <c r="AU452" i="5"/>
  <c r="AV453" i="5"/>
  <c r="AV267" i="5"/>
  <c r="AT413" i="5"/>
  <c r="AM399" i="5"/>
  <c r="AN346" i="5" s="1"/>
  <c r="AM395" i="5"/>
  <c r="AN342" i="5" s="1"/>
  <c r="AU395" i="5"/>
  <c r="AT401" i="5"/>
  <c r="AH227" i="5"/>
  <c r="V227" i="5"/>
  <c r="AC226" i="5"/>
  <c r="W227" i="5"/>
  <c r="K226" i="5"/>
  <c r="T227" i="5"/>
  <c r="AD227" i="5"/>
  <c r="AV376" i="5"/>
  <c r="AU449" i="5"/>
  <c r="AT36" i="5"/>
  <c r="AU400" i="5"/>
  <c r="AT420" i="5"/>
  <c r="AM415" i="5"/>
  <c r="AN362" i="5" s="1"/>
  <c r="AS404" i="5"/>
  <c r="AS397" i="5"/>
  <c r="AP408" i="5"/>
  <c r="AQ226" i="5"/>
  <c r="AU31" i="5"/>
  <c r="AT404" i="5"/>
  <c r="AJ387" i="5"/>
  <c r="AR409" i="5"/>
  <c r="AM425" i="5"/>
  <c r="AN372" i="5" s="1"/>
  <c r="AJ430" i="5"/>
  <c r="AO421" i="5"/>
  <c r="AS390" i="5"/>
  <c r="AT388" i="5"/>
  <c r="AU396" i="5"/>
  <c r="AU453" i="5"/>
  <c r="AR36" i="5"/>
  <c r="AT399" i="5"/>
  <c r="AP429" i="5"/>
  <c r="AL394" i="5"/>
  <c r="AJ417" i="5"/>
  <c r="AM407" i="5"/>
  <c r="AN354" i="5" s="1"/>
  <c r="AP410" i="5"/>
  <c r="AK227" i="5"/>
  <c r="AM419" i="5"/>
  <c r="AN366" i="5" s="1"/>
  <c r="AU392" i="5"/>
  <c r="AU398" i="5"/>
  <c r="AJ425" i="5"/>
  <c r="AM411" i="5"/>
  <c r="AN358" i="5" s="1"/>
  <c r="AL415" i="5"/>
  <c r="AR402" i="5"/>
  <c r="AV449" i="5"/>
  <c r="AU35" i="5"/>
  <c r="AU264" i="5"/>
  <c r="AM423" i="5"/>
  <c r="AN370" i="5" s="1"/>
  <c r="AS400" i="5"/>
  <c r="AL410" i="5"/>
  <c r="AP396" i="5"/>
  <c r="AO389" i="5"/>
  <c r="AM409" i="5"/>
  <c r="AN356" i="5" s="1"/>
  <c r="AP387" i="5"/>
  <c r="AS371" i="5"/>
  <c r="AS455" i="5"/>
  <c r="AU455" i="5"/>
  <c r="AS375" i="5"/>
  <c r="AQ403" i="5"/>
  <c r="AS408" i="5"/>
  <c r="AL399" i="5"/>
  <c r="AP403" i="5"/>
  <c r="AJ414" i="5"/>
  <c r="AQ390" i="5"/>
  <c r="AR431" i="5"/>
  <c r="AR425" i="5"/>
  <c r="AQ417" i="5"/>
  <c r="AM227" i="5"/>
  <c r="AT376" i="5"/>
  <c r="AV34" i="5"/>
  <c r="AU371" i="5"/>
  <c r="AL397" i="5"/>
  <c r="AU387" i="5"/>
  <c r="AL428" i="5"/>
  <c r="AT386" i="5"/>
  <c r="AQ391" i="5"/>
  <c r="AT422" i="5"/>
  <c r="AT264" i="5"/>
  <c r="AT31" i="5"/>
  <c r="AS376" i="5"/>
  <c r="AV450" i="5"/>
  <c r="AR33" i="5"/>
  <c r="AL408" i="5"/>
  <c r="AU408" i="5"/>
  <c r="AJ409" i="5"/>
  <c r="AP386" i="5"/>
  <c r="AM396" i="5"/>
  <c r="AN343" i="5" s="1"/>
  <c r="AP395" i="5"/>
  <c r="AJ395" i="5"/>
  <c r="AM428" i="5"/>
  <c r="AN375" i="5" s="1"/>
  <c r="AK226" i="5"/>
  <c r="X226" i="5"/>
  <c r="M226" i="5"/>
  <c r="U227" i="5"/>
  <c r="AA227" i="5"/>
  <c r="AG227" i="5"/>
  <c r="AF226" i="5"/>
  <c r="L227" i="5"/>
  <c r="AU454" i="5"/>
  <c r="AU425" i="5"/>
  <c r="AP428" i="5"/>
  <c r="AT402" i="5"/>
  <c r="AT425" i="5"/>
  <c r="AQ411" i="5"/>
  <c r="AT286" i="5"/>
  <c r="AT282" i="17" s="1"/>
  <c r="AS451" i="5"/>
  <c r="AR32" i="5"/>
  <c r="AS417" i="5"/>
  <c r="AO424" i="5"/>
  <c r="AP421" i="5"/>
  <c r="AL386" i="5"/>
  <c r="AT32" i="5"/>
  <c r="AU399" i="5"/>
  <c r="AQ392" i="5"/>
  <c r="AL425" i="5"/>
  <c r="AO410" i="5"/>
  <c r="AR416" i="5"/>
  <c r="AM401" i="5"/>
  <c r="AN348" i="5" s="1"/>
  <c r="AP431" i="5"/>
  <c r="AJ426" i="5"/>
  <c r="AM424" i="5"/>
  <c r="AN371" i="5" s="1"/>
  <c r="AM405" i="5"/>
  <c r="AN352" i="5" s="1"/>
  <c r="AO416" i="5"/>
  <c r="AL427" i="5"/>
  <c r="AJ398" i="5"/>
  <c r="AJ415" i="5"/>
  <c r="AT395" i="5"/>
  <c r="AT454" i="5"/>
  <c r="AO408" i="5"/>
  <c r="AJ403" i="5"/>
  <c r="AM404" i="5"/>
  <c r="AN351" i="5" s="1"/>
  <c r="AR401" i="5"/>
  <c r="AQ427" i="5"/>
  <c r="AL413" i="5"/>
  <c r="AQ399" i="5"/>
  <c r="AR31" i="5"/>
  <c r="AR35" i="5"/>
  <c r="AU113" i="5"/>
  <c r="AS427" i="5"/>
  <c r="AU428" i="5"/>
  <c r="AR408" i="5"/>
  <c r="AR389" i="5"/>
  <c r="AS393" i="5"/>
  <c r="AR414" i="5"/>
  <c r="AJ226" i="5"/>
  <c r="AT265" i="5"/>
  <c r="AJ413" i="5"/>
  <c r="AO430" i="5"/>
  <c r="AU431" i="5"/>
  <c r="AO393" i="5"/>
  <c r="AL395" i="5"/>
  <c r="AJ390" i="5"/>
  <c r="AT390" i="5"/>
  <c r="AR412" i="5"/>
  <c r="AU404" i="5"/>
  <c r="AO426" i="5"/>
  <c r="AM408" i="5"/>
  <c r="AN355" i="5" s="1"/>
  <c r="AU429" i="5"/>
  <c r="AJ431" i="5"/>
  <c r="AQ386" i="5"/>
  <c r="AJ410" i="5"/>
  <c r="AQ401" i="5"/>
  <c r="AO422" i="5"/>
  <c r="AR286" i="5"/>
  <c r="P227" i="5"/>
  <c r="AA226" i="5"/>
  <c r="Y226" i="5"/>
  <c r="U226" i="5"/>
  <c r="AE226" i="5"/>
  <c r="AC227" i="5"/>
  <c r="AR375" i="5"/>
  <c r="AR377" i="5"/>
  <c r="AR374" i="5"/>
  <c r="AR378" i="5"/>
  <c r="AR371" i="5"/>
  <c r="AR373" i="5"/>
  <c r="AR376" i="5"/>
  <c r="AR372" i="5"/>
  <c r="AT17"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T76" i="6" l="1"/>
  <c r="AU76" i="6"/>
  <c r="AS76" i="6"/>
  <c r="AR76" i="6"/>
  <c r="AV76" i="6"/>
  <c r="AO368" i="5"/>
  <c r="AO376" i="5"/>
  <c r="AR282" i="17"/>
  <c r="AP373" i="5"/>
  <c r="AO363" i="5"/>
  <c r="AO361" i="5"/>
  <c r="AO342" i="5"/>
  <c r="AO377" i="5"/>
  <c r="AO355" i="5"/>
  <c r="AO340" i="5"/>
  <c r="AO335" i="5"/>
  <c r="AO367" i="5"/>
  <c r="AO336" i="5"/>
  <c r="AO357" i="5"/>
  <c r="AO372" i="5"/>
  <c r="AO344" i="5"/>
  <c r="AO349" i="5"/>
  <c r="AO362" i="5"/>
  <c r="AO373" i="5"/>
  <c r="AO348" i="5"/>
  <c r="AO338" i="5"/>
  <c r="AO350" i="5"/>
  <c r="AO343" i="5"/>
  <c r="AO356" i="5"/>
  <c r="AO378" i="5"/>
  <c r="AO366" i="5"/>
  <c r="AO374" i="5"/>
  <c r="AO347" i="5"/>
  <c r="AO375" i="5"/>
  <c r="AO371" i="5"/>
  <c r="AO370" i="5"/>
  <c r="AP372" i="5"/>
  <c r="AP375" i="5"/>
  <c r="AO369" i="5"/>
  <c r="AP378" i="5"/>
  <c r="AO339" i="5"/>
  <c r="AO358" i="5"/>
  <c r="AO346" i="5"/>
  <c r="AO354" i="5"/>
  <c r="AO352" i="5"/>
  <c r="AO345" i="5"/>
  <c r="AO341" i="5"/>
  <c r="AO365" i="5"/>
  <c r="AO337" i="5"/>
  <c r="AO364" i="5"/>
  <c r="AP377" i="5"/>
  <c r="AO333" i="5"/>
  <c r="AO359" i="5"/>
  <c r="AO360" i="5"/>
  <c r="AP371" i="5"/>
  <c r="AO334" i="5"/>
  <c r="AT33" i="5"/>
  <c r="AP376" i="5"/>
  <c r="AP374" i="5"/>
  <c r="AO351" i="5"/>
  <c r="AR21" i="106"/>
  <c r="AT21" i="106"/>
  <c r="AV21" i="106"/>
  <c r="AU21" i="106"/>
  <c r="AS21" i="106"/>
  <c r="AT37" i="5" l="1"/>
  <c r="AR37" i="5"/>
  <c r="AV37" i="5"/>
  <c r="AU37" i="5"/>
  <c r="AS37" i="5"/>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7"/>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7"/>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X8" i="117" s="1"/>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7"/>
  <c r="U8" i="117"/>
  <c r="K8" i="117"/>
  <c r="N8" i="117"/>
  <c r="V8" i="117"/>
  <c r="L8" i="117"/>
  <c r="O8" i="117"/>
  <c r="W8" i="117"/>
  <c r="M8" i="117"/>
  <c r="Q8" i="117"/>
  <c r="P8" i="117"/>
  <c r="R8" i="117"/>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K8" i="117"/>
  <c r="AG8" i="117"/>
  <c r="AE8" i="117"/>
  <c r="AF8" i="117"/>
  <c r="AM196" i="5"/>
  <c r="AM8" i="117"/>
  <c r="AJ8" i="117"/>
  <c r="AD8" i="117"/>
  <c r="AB8" i="117"/>
  <c r="Z8" i="117"/>
  <c r="AH8" i="117"/>
  <c r="E217" i="12"/>
  <c r="AN8" i="117"/>
  <c r="AC8" i="117"/>
  <c r="AA8" i="117"/>
  <c r="Y8" i="117"/>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I8" i="117"/>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O8" i="117"/>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7"/>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7"/>
  <c r="AR82" i="17"/>
  <c r="AV82" i="17"/>
  <c r="AL16" i="101"/>
  <c r="AL12" i="126"/>
  <c r="I12" i="126"/>
  <c r="AO13" i="126" s="1"/>
  <c r="AV201" i="5"/>
  <c r="AV205" i="5"/>
  <c r="AU201" i="5"/>
  <c r="AV157" i="5"/>
  <c r="AV158" i="5" s="1"/>
  <c r="AV178" i="5" s="1"/>
  <c r="AT157" i="5"/>
  <c r="AT158" i="5" s="1"/>
  <c r="AT178" i="5" s="1"/>
  <c r="AT204" i="5"/>
  <c r="AT152" i="17" s="1"/>
  <c r="AT136" i="17" s="1"/>
  <c r="AV162" i="5"/>
  <c r="AR162" i="5"/>
  <c r="AS162" i="5"/>
  <c r="AU202" i="5"/>
  <c r="AT201" i="5"/>
  <c r="AR201" i="5"/>
  <c r="AU162" i="5"/>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I218" i="12" l="1"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AV29" i="32" l="1"/>
  <c r="O140" i="12"/>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26" i="126" l="1"/>
  <c r="AR146" i="126" s="1"/>
  <c r="AR68" i="126"/>
  <c r="AR152" i="126" s="1"/>
  <c r="AR135" i="126"/>
  <c r="AR166" i="126" s="1"/>
  <c r="AP8" i="106"/>
  <c r="AR8" i="117"/>
  <c r="AQ8" i="106"/>
  <c r="AR15" i="15"/>
  <c r="AR16" i="101"/>
  <c r="AR17" i="17"/>
  <c r="M316" i="33"/>
  <c r="M317" i="33" s="1"/>
  <c r="AP194" i="5"/>
  <c r="AQ194" i="5"/>
  <c r="AP8" i="117" l="1"/>
  <c r="AP16" i="101"/>
  <c r="AP12" i="126"/>
  <c r="AP13" i="126" s="1"/>
  <c r="AQ12" i="126"/>
  <c r="AQ13" i="126" s="1"/>
  <c r="AQ8" i="117"/>
  <c r="AQ16" i="101"/>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7" l="1"/>
  <c r="AS196" i="5"/>
  <c r="AS314" i="17"/>
  <c r="AS15" i="15"/>
  <c r="AS16" i="101"/>
  <c r="AS17" i="17"/>
  <c r="AT29" i="32"/>
  <c r="M332" i="33"/>
  <c r="M333" i="33" s="1"/>
  <c r="M334" i="33" s="1"/>
  <c r="M335" i="33" s="1"/>
  <c r="M336" i="33" s="1"/>
  <c r="M337" i="33" s="1"/>
  <c r="M338" i="33" s="1"/>
  <c r="AT188" i="5"/>
  <c r="AT114" i="17" l="1"/>
  <c r="AT30" i="32"/>
  <c r="AT32" i="32"/>
  <c r="AT17" i="101"/>
  <c r="AS66" i="101" s="1"/>
  <c r="AU40" i="32"/>
  <c r="AU45" i="32" s="1"/>
  <c r="M339" i="33"/>
  <c r="AT8" i="106" l="1"/>
  <c r="AT43" i="32"/>
  <c r="AT46" i="32" s="1"/>
  <c r="AT194" i="5"/>
  <c r="AT12" i="126" s="1"/>
  <c r="AT13" i="126" s="1"/>
  <c r="M340" i="33"/>
  <c r="M341" i="33" s="1"/>
  <c r="AT8" i="117" l="1"/>
  <c r="AT195" i="5"/>
  <c r="AT196" i="5" s="1"/>
  <c r="AT15" i="15"/>
  <c r="AT16" i="101"/>
  <c r="AT17" i="17"/>
  <c r="AU23" i="32"/>
  <c r="AU24" i="32" s="1"/>
  <c r="M342" i="33"/>
  <c r="M343" i="33" s="1"/>
  <c r="AT314" i="17" l="1"/>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17"/>
  <c r="AU15" i="15"/>
  <c r="AU16" i="101"/>
  <c r="AU17" i="17"/>
  <c r="AV43" i="32"/>
  <c r="AV46" i="32" s="1"/>
  <c r="AV23" i="32"/>
  <c r="AV24" i="32" s="1"/>
  <c r="AV195" i="5" l="1"/>
  <c r="AV196" i="5" s="1"/>
  <c r="AV188" i="5"/>
  <c r="AV314" i="17" l="1"/>
  <c r="AV114" i="17"/>
  <c r="AV32" i="32"/>
  <c r="AV30" i="32"/>
  <c r="AV17" i="101"/>
  <c r="AU66" i="101" s="1"/>
  <c r="AV8" i="106" l="1"/>
  <c r="AV194" i="5"/>
  <c r="AV12" i="126" s="1"/>
  <c r="AV13" i="126" s="1"/>
  <c r="AV8" i="117" l="1"/>
  <c r="AV15" i="15"/>
  <c r="AV16" i="101"/>
  <c r="AV17"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U85" i="15"/>
  <c r="AT98" i="15"/>
  <c r="AV98" i="15"/>
  <c r="AS98" i="15"/>
  <c r="AV85" i="15"/>
  <c r="AU98" i="15"/>
  <c r="AT85" i="15"/>
  <c r="AS85" i="15"/>
  <c r="AT59" i="15"/>
  <c r="AR85" i="15"/>
  <c r="AS59" i="15"/>
  <c r="AU59" i="1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172" i="5"/>
  <c r="AU169" i="5"/>
  <c r="AU173" i="5" s="1"/>
  <c r="AU179" i="5" s="1"/>
  <c r="AU202" i="12"/>
  <c r="AT172" i="5"/>
  <c r="AT169" i="5"/>
  <c r="AT173" i="5" s="1"/>
  <c r="AT179" i="5" s="1"/>
  <c r="Q154" i="12"/>
  <c r="P193" i="12"/>
  <c r="AQ63" i="101"/>
  <c r="AQ95" i="101"/>
  <c r="O193" i="12"/>
  <c r="AR69" i="101"/>
  <c r="AR50" i="101" s="1"/>
  <c r="AS172" i="5"/>
  <c r="AV172" i="5"/>
  <c r="AV169" i="5"/>
  <c r="AV173" i="5" s="1"/>
  <c r="AV179" i="5" s="1"/>
  <c r="AV201" i="12"/>
  <c r="AV55" i="12"/>
  <c r="AV202" i="12" s="1"/>
  <c r="AR51" i="101" l="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Q208" i="12"/>
  <c r="Q204" i="12" s="1"/>
  <c r="Q30" i="12" s="1"/>
  <c r="Q193" i="12"/>
  <c r="R154" i="12"/>
  <c r="AU23" i="126" l="1"/>
  <c r="AU16" i="126"/>
  <c r="AT23" i="126"/>
  <c r="AT16" i="126"/>
  <c r="AS23" i="126"/>
  <c r="AS16" i="126"/>
  <c r="AV23" i="126"/>
  <c r="AV16" i="126"/>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T12" i="13"/>
  <c r="AT65" i="101"/>
  <c r="AT67" i="101" s="1"/>
  <c r="AU119" i="17"/>
  <c r="AU122" i="17" s="1"/>
  <c r="AU154" i="17" s="1"/>
  <c r="AS65" i="101"/>
  <c r="AS67" i="101" s="1"/>
  <c r="AS12" i="13"/>
  <c r="AU65" i="101"/>
  <c r="AU67" i="101" s="1"/>
  <c r="AU12" i="13"/>
  <c r="R193" i="12"/>
  <c r="S154" i="12"/>
  <c r="AS119" i="17"/>
  <c r="AS122" i="17" s="1"/>
  <c r="AS154" i="17" s="1"/>
  <c r="AV119" i="17"/>
  <c r="AV122" i="17" s="1"/>
  <c r="AV154" i="17" s="1"/>
  <c r="AR23" i="126" l="1"/>
  <c r="AR16" i="126"/>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S208" i="12"/>
  <c r="S204" i="12" s="1"/>
  <c r="S30" i="12" s="1"/>
  <c r="T210" i="12"/>
  <c r="AS138" i="17"/>
  <c r="AS113" i="17"/>
  <c r="AS28" i="13"/>
  <c r="AS13" i="13"/>
  <c r="V261" i="12"/>
  <c r="V255" i="12" s="1"/>
  <c r="V31" i="12" s="1"/>
  <c r="AV28" i="13"/>
  <c r="AV13" i="13"/>
  <c r="S193" i="12"/>
  <c r="T154" i="12"/>
  <c r="AU28" i="13"/>
  <c r="AU13" i="13"/>
  <c r="W263" i="12"/>
  <c r="AT13" i="13"/>
  <c r="AT28" i="13"/>
  <c r="AU138" i="17"/>
  <c r="AU113" i="17"/>
  <c r="AV113" i="17"/>
  <c r="AV138" i="17"/>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W261" i="12"/>
  <c r="W255" i="12" s="1"/>
  <c r="W31" i="12" s="1"/>
  <c r="X263" i="12"/>
  <c r="X261" i="12" s="1"/>
  <c r="X255" i="12" s="1"/>
  <c r="X31" i="12" s="1"/>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V193" i="12"/>
  <c r="W154" i="12"/>
  <c r="E431" i="5"/>
  <c r="E394" i="5"/>
  <c r="E401" i="5"/>
  <c r="E412" i="5"/>
  <c r="E387" i="5"/>
  <c r="E385" i="5"/>
  <c r="E421" i="5"/>
  <c r="E417" i="5"/>
  <c r="E384" i="5"/>
  <c r="E409" i="5"/>
  <c r="E414" i="5"/>
  <c r="E423" i="5"/>
  <c r="AV316" i="17"/>
  <c r="E398" i="5"/>
  <c r="E397" i="5"/>
  <c r="AT316" i="17"/>
  <c r="E407" i="5"/>
  <c r="E427" i="5"/>
  <c r="E404" i="5"/>
  <c r="E395" i="5"/>
  <c r="E411" i="5"/>
  <c r="E405" i="5"/>
  <c r="E418" i="5"/>
  <c r="E403" i="5"/>
  <c r="E392" i="5"/>
  <c r="E402" i="5"/>
  <c r="E413" i="5"/>
  <c r="E390" i="5"/>
  <c r="E426" i="5"/>
  <c r="E420" i="5"/>
  <c r="AR316" i="17"/>
  <c r="AU316" i="17"/>
  <c r="E396" i="5"/>
  <c r="E419" i="5"/>
  <c r="E415" i="5"/>
  <c r="E430" i="5"/>
  <c r="AS316" i="17"/>
  <c r="E425" i="5"/>
  <c r="E393" i="5"/>
  <c r="E391" i="5"/>
  <c r="E416" i="5"/>
  <c r="E388" i="5"/>
  <c r="E389" i="5"/>
  <c r="E429" i="5"/>
  <c r="E424" i="5"/>
  <c r="E422" i="5"/>
  <c r="AU320" i="17"/>
  <c r="E410" i="5"/>
  <c r="E428" i="5"/>
  <c r="E408" i="5"/>
  <c r="E386" i="5"/>
  <c r="E400" i="5"/>
  <c r="E399" i="5"/>
  <c r="K40" i="12"/>
  <c r="AO40" i="12"/>
  <c r="AL40" i="12"/>
  <c r="AM40" i="12"/>
  <c r="AN40" i="12"/>
  <c r="AJ40" i="12"/>
  <c r="AQ40" i="12"/>
  <c r="AP40" i="12"/>
  <c r="AK40" i="12"/>
  <c r="AT22" i="101" l="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O73" i="13" l="1"/>
  <c r="AV73" i="13"/>
  <c r="AN73" i="13"/>
  <c r="AU73" i="13"/>
  <c r="AM73" i="13"/>
  <c r="AT73" i="13"/>
  <c r="AL73" i="13"/>
  <c r="AJ73" i="13"/>
  <c r="AS73" i="13"/>
  <c r="AK73" i="13"/>
  <c r="AR73" i="13"/>
  <c r="AQ73" i="13"/>
  <c r="AP73" i="13"/>
  <c r="AT45" i="101"/>
  <c r="AU22" i="101"/>
  <c r="AV22" i="101"/>
  <c r="AS52" i="101"/>
  <c r="T27" i="12"/>
  <c r="I124" i="12"/>
  <c r="I98" i="12"/>
  <c r="I130" i="12"/>
  <c r="I89" i="12"/>
  <c r="I78" i="12"/>
  <c r="Q27" i="12"/>
  <c r="AA210" i="12"/>
  <c r="Z208" i="12"/>
  <c r="Z204" i="12" s="1"/>
  <c r="Z30" i="12" s="1"/>
  <c r="I134" i="12"/>
  <c r="S27" i="12"/>
  <c r="L27" i="12"/>
  <c r="V27" i="12"/>
  <c r="I71" i="12"/>
  <c r="AT308" i="5"/>
  <c r="AS281" i="17"/>
  <c r="AS265" i="17" s="1"/>
  <c r="I110" i="12"/>
  <c r="I102" i="12"/>
  <c r="AV102" i="12" s="1"/>
  <c r="I146" i="12"/>
  <c r="AV146" i="12" s="1"/>
  <c r="AV307" i="5"/>
  <c r="I144" i="12"/>
  <c r="I100" i="12"/>
  <c r="AV281" i="17"/>
  <c r="AV265" i="17" s="1"/>
  <c r="I103" i="12"/>
  <c r="I147" i="12"/>
  <c r="AB261" i="12"/>
  <c r="AB255" i="12" s="1"/>
  <c r="AB31" i="12" s="1"/>
  <c r="AC263" i="12"/>
  <c r="AU281" i="17"/>
  <c r="AU265" i="17" s="1"/>
  <c r="AR281" i="17"/>
  <c r="AR265" i="17" s="1"/>
  <c r="X193" i="12"/>
  <c r="Y154" i="12"/>
  <c r="AT281" i="17"/>
  <c r="AT265" i="17" s="1"/>
  <c r="AR303" i="5"/>
  <c r="I101" i="12"/>
  <c r="AU101" i="12" s="1"/>
  <c r="AV101" i="12" s="1"/>
  <c r="I145" i="12"/>
  <c r="AS309" i="5"/>
  <c r="AR306" i="5"/>
  <c r="I99" i="12"/>
  <c r="I143" i="12"/>
  <c r="AV45" i="101" l="1"/>
  <c r="AU45" i="101"/>
  <c r="AU52" i="101" s="1"/>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T286" i="17"/>
  <c r="AT284" i="17"/>
  <c r="AS99" i="12"/>
  <c r="AT99" i="12" s="1"/>
  <c r="AU99" i="12" s="1"/>
  <c r="AV99" i="12" s="1"/>
  <c r="I73" i="12"/>
  <c r="R27" i="12"/>
  <c r="I117" i="12"/>
  <c r="I120" i="12"/>
  <c r="U27" i="12"/>
  <c r="I76" i="12"/>
  <c r="AU286" i="17"/>
  <c r="AU284" i="17"/>
  <c r="I93" i="12"/>
  <c r="I137" i="12"/>
  <c r="O27" i="12"/>
  <c r="I114" i="12"/>
  <c r="I70" i="12"/>
  <c r="X78" i="12"/>
  <c r="Y78" i="12" s="1"/>
  <c r="Z124" i="12"/>
  <c r="AA124" i="12" s="1"/>
  <c r="I141" i="12"/>
  <c r="I97" i="12"/>
  <c r="I132" i="12"/>
  <c r="AG27" i="12"/>
  <c r="I88" i="12"/>
  <c r="AJ134" i="12"/>
  <c r="Y193" i="12"/>
  <c r="Z154" i="12"/>
  <c r="I84" i="12"/>
  <c r="I128" i="12"/>
  <c r="AC27" i="12"/>
  <c r="AI89" i="12"/>
  <c r="AJ89" i="12" s="1"/>
  <c r="I66" i="12"/>
  <c r="K27" i="1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I91" i="12"/>
  <c r="I135" i="12"/>
  <c r="Q71" i="12"/>
  <c r="R71" i="12" s="1"/>
  <c r="AC261" i="12"/>
  <c r="AC255" i="12" s="1"/>
  <c r="AC31" i="12" s="1"/>
  <c r="AD263" i="12"/>
  <c r="AT144" i="12"/>
  <c r="AU144" i="12" s="1"/>
  <c r="AV144" i="12" s="1"/>
  <c r="I95" i="12"/>
  <c r="I139" i="12"/>
  <c r="AF27" i="12"/>
  <c r="I131" i="12"/>
  <c r="I87" i="12"/>
  <c r="I79" i="12"/>
  <c r="X27" i="12"/>
  <c r="I123" i="12"/>
  <c r="AV52" i="101" l="1"/>
  <c r="AR284" i="17"/>
  <c r="AR288" i="17" s="1"/>
  <c r="AV15" i="16"/>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Z193" i="12"/>
  <c r="Z192" i="12"/>
  <c r="AA154" i="12"/>
  <c r="AK134" i="12"/>
  <c r="AQ141" i="12"/>
  <c r="AR141" i="12" s="1"/>
  <c r="N67" i="12"/>
  <c r="O67" i="12" s="1"/>
  <c r="AB124" i="12"/>
  <c r="AC124" i="12" s="1"/>
  <c r="P70" i="12"/>
  <c r="Q70" i="12" s="1"/>
  <c r="R70" i="12" s="1"/>
  <c r="S70" i="12" s="1"/>
  <c r="T70" i="12" s="1"/>
  <c r="U70" i="12" s="1"/>
  <c r="S117" i="12"/>
  <c r="L110" i="12"/>
  <c r="AH132" i="12"/>
  <c r="P114" i="12"/>
  <c r="Q114" i="12" s="1"/>
  <c r="R114" i="12" s="1"/>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M137" i="12"/>
  <c r="AN137" i="12" s="1"/>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W72" i="12"/>
  <c r="X72" i="12" s="1"/>
  <c r="Y72" i="12" s="1"/>
  <c r="V119" i="12"/>
  <c r="W119" i="12" s="1"/>
  <c r="AM93" i="12"/>
  <c r="AN93" i="12" s="1"/>
  <c r="AO93" i="12" s="1"/>
  <c r="AP93" i="12" s="1"/>
  <c r="AL92" i="12"/>
  <c r="AM92" i="12"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V76" i="12"/>
  <c r="W76" i="12" s="1"/>
  <c r="N111" i="12"/>
  <c r="AG87" i="12"/>
  <c r="AH87" i="12" s="1"/>
  <c r="AC83" i="12"/>
  <c r="AD83" i="12" s="1"/>
  <c r="AE83" i="12" s="1"/>
  <c r="AF83" i="12" s="1"/>
  <c r="AK133" i="12"/>
  <c r="AL133" i="12" s="1"/>
  <c r="AM133" i="12" s="1"/>
  <c r="AH88" i="12"/>
  <c r="AI88" i="12" s="1"/>
  <c r="AJ88" i="12" s="1"/>
  <c r="AQ97" i="12"/>
  <c r="AR97" i="12" s="1"/>
  <c r="AS97" i="12" s="1"/>
  <c r="Z122" i="12"/>
  <c r="V120" i="12"/>
  <c r="I191" i="12"/>
  <c r="Z191" i="12" s="1"/>
  <c r="AR292" i="17" l="1"/>
  <c r="AJ56" i="13"/>
  <c r="AR15" i="16"/>
  <c r="AS15" i="16"/>
  <c r="AU15" i="16"/>
  <c r="AT15" i="16"/>
  <c r="AE80" i="12"/>
  <c r="AF80" i="12" s="1"/>
  <c r="AG80" i="12" s="1"/>
  <c r="AN90" i="12"/>
  <c r="AO90" i="12" s="1"/>
  <c r="AP90" i="12" s="1"/>
  <c r="AA77" i="12"/>
  <c r="AB77" i="12" s="1"/>
  <c r="AC77" i="12" s="1"/>
  <c r="AD77" i="12" s="1"/>
  <c r="AE77" i="12" s="1"/>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P94" i="12"/>
  <c r="AQ94" i="12" s="1"/>
  <c r="U116" i="12"/>
  <c r="AI87" i="12"/>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X119" i="12"/>
  <c r="Y119" i="12" s="1"/>
  <c r="Z119" i="12" s="1"/>
  <c r="AE74" i="12"/>
  <c r="AF74" i="12" s="1"/>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T117" i="12"/>
  <c r="AL134" i="12"/>
  <c r="AM134" i="12" s="1"/>
  <c r="AH80" i="12" l="1"/>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S139" i="12"/>
  <c r="P111" i="12"/>
  <c r="AM135" i="12"/>
  <c r="Q66" i="12"/>
  <c r="AN134" i="12"/>
  <c r="AO134" i="12" s="1"/>
  <c r="AP134" i="12" s="1"/>
  <c r="AQ134" i="12" s="1"/>
  <c r="AR134" i="12" s="1"/>
  <c r="AB121" i="12"/>
  <c r="AC121" i="12" s="1"/>
  <c r="AD121" i="12" s="1"/>
  <c r="AL118" i="12"/>
  <c r="AK82" i="12"/>
  <c r="AL82" i="12" s="1"/>
  <c r="S112" i="12"/>
  <c r="AM131" i="12"/>
  <c r="AN131" i="12" s="1"/>
  <c r="AO131" i="12" s="1"/>
  <c r="AP131" i="12" s="1"/>
  <c r="AQ131" i="12" s="1"/>
  <c r="AR131" i="12" s="1"/>
  <c r="AS131" i="12" s="1"/>
  <c r="AT131" i="12" s="1"/>
  <c r="AU131" i="12" s="1"/>
  <c r="AV131" i="12" s="1"/>
  <c r="AH127" i="12"/>
  <c r="AF261" i="12"/>
  <c r="AF255" i="12" s="1"/>
  <c r="AF31" i="12" s="1"/>
  <c r="AG263" i="12"/>
  <c r="AF84" i="12"/>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N71" i="12"/>
  <c r="AO71" i="12" s="1"/>
  <c r="AP71" i="12" s="1"/>
  <c r="AQ71" i="12" s="1"/>
  <c r="AR71" i="12" s="1"/>
  <c r="AS71" i="12" s="1"/>
  <c r="AT71" i="12" s="1"/>
  <c r="AU71" i="12" s="1"/>
  <c r="AV71" i="12" s="1"/>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U115" i="12"/>
  <c r="V115" i="12" s="1"/>
  <c r="AA73" i="12"/>
  <c r="AB73" i="12" s="1"/>
  <c r="AJ87" i="12"/>
  <c r="AV141" i="12"/>
  <c r="I187" i="12" s="1"/>
  <c r="AB187" i="12" s="1"/>
  <c r="AS136" i="12" l="1"/>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H126" i="12"/>
  <c r="AI126" i="12" s="1"/>
  <c r="AJ126" i="12" s="1"/>
  <c r="R110" i="12"/>
  <c r="S110" i="12" s="1"/>
  <c r="T110" i="12" s="1"/>
  <c r="U110" i="12"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53" i="6"/>
  <c r="AV53" i="6"/>
  <c r="AS53" i="6"/>
  <c r="AR53" i="6" l="1"/>
  <c r="AR61" i="101" l="1"/>
  <c r="AR62" i="101" s="1"/>
  <c r="AS61" i="101" l="1"/>
  <c r="AS62" i="101" s="1"/>
  <c r="AT51" i="101" l="1"/>
  <c r="AT61" i="101" l="1"/>
  <c r="AT62" i="101" s="1"/>
  <c r="AS330" i="106" l="1"/>
  <c r="AS470" i="5" s="1"/>
  <c r="AV330" i="106"/>
  <c r="AV470" i="5" s="1"/>
  <c r="AR320" i="106"/>
  <c r="AR460" i="5" s="1"/>
  <c r="AS327" i="106"/>
  <c r="AS467" i="5" s="1"/>
  <c r="AS306" i="106"/>
  <c r="AS446" i="5" s="1"/>
  <c r="AU320" i="106"/>
  <c r="AU460" i="5" s="1"/>
  <c r="AR299" i="106"/>
  <c r="AR439" i="5" s="1"/>
  <c r="AU299" i="106"/>
  <c r="AU439" i="5" s="1"/>
  <c r="AV299" i="106"/>
  <c r="AV439" i="5" s="1"/>
  <c r="AV327" i="106"/>
  <c r="AV467" i="5" s="1"/>
  <c r="AS334" i="106"/>
  <c r="AS474" i="5" s="1"/>
  <c r="AU306" i="106"/>
  <c r="AU446" i="5" s="1"/>
  <c r="AV306" i="106"/>
  <c r="AV446" i="5" s="1"/>
  <c r="AR306" i="106"/>
  <c r="AR446" i="5" s="1"/>
  <c r="AT334" i="106"/>
  <c r="AT474" i="5" s="1"/>
  <c r="AU334" i="106"/>
  <c r="AU474" i="5" s="1"/>
  <c r="AT299" i="106"/>
  <c r="AT439" i="5" s="1"/>
  <c r="AU327" i="106"/>
  <c r="AU467" i="5" s="1"/>
  <c r="AR334" i="106"/>
  <c r="AR474" i="5" s="1"/>
  <c r="AV320" i="106"/>
  <c r="AV460" i="5" s="1"/>
  <c r="AR327" i="106"/>
  <c r="AR467" i="5" s="1"/>
  <c r="AT327" i="106"/>
  <c r="AT467" i="5" s="1"/>
  <c r="AV334" i="106"/>
  <c r="AV474" i="5" s="1"/>
  <c r="AS320" i="106"/>
  <c r="AS460" i="5" s="1"/>
  <c r="AT306" i="106"/>
  <c r="AT446" i="5" s="1"/>
  <c r="AS299" i="106"/>
  <c r="AS439" i="5" s="1"/>
  <c r="AT320" i="106"/>
  <c r="AT460" i="5" s="1"/>
  <c r="AV323" i="106" l="1"/>
  <c r="AV463" i="5" s="1"/>
  <c r="AS323" i="106"/>
  <c r="AS463" i="5" s="1"/>
  <c r="AT302" i="106"/>
  <c r="AT442" i="5" s="1"/>
  <c r="AV316" i="106"/>
  <c r="AV456" i="5" s="1"/>
  <c r="AV302" i="106"/>
  <c r="AV442" i="5" s="1"/>
  <c r="AS302" i="106"/>
  <c r="AS442" i="5" s="1"/>
  <c r="AU302" i="106"/>
  <c r="AU442" i="5" s="1"/>
  <c r="AS316" i="106"/>
  <c r="AS456" i="5" s="1"/>
  <c r="AU332" i="106"/>
  <c r="AU472" i="5" s="1"/>
  <c r="AT318" i="106"/>
  <c r="AT458" i="5" s="1"/>
  <c r="AT325" i="106"/>
  <c r="AT465" i="5" s="1"/>
  <c r="AV304" i="106"/>
  <c r="AV444" i="5" s="1"/>
  <c r="AV325" i="106"/>
  <c r="AV465" i="5" s="1"/>
  <c r="AV318" i="106"/>
  <c r="AV458" i="5" s="1"/>
  <c r="AU304" i="106"/>
  <c r="AU444" i="5" s="1"/>
  <c r="AV332" i="106"/>
  <c r="AV472" i="5" s="1"/>
  <c r="AS318" i="106"/>
  <c r="AS458" i="5" s="1"/>
  <c r="AU325" i="106"/>
  <c r="AU465" i="5" s="1"/>
  <c r="AS325" i="106"/>
  <c r="AS465" i="5" s="1"/>
  <c r="AU318" i="106"/>
  <c r="AU458" i="5" s="1"/>
  <c r="AT332" i="106"/>
  <c r="AT472" i="5" s="1"/>
  <c r="AT304" i="106"/>
  <c r="AT444" i="5" s="1"/>
  <c r="AT297" i="106"/>
  <c r="AT437" i="5" s="1"/>
  <c r="AS332" i="106"/>
  <c r="AS472" i="5" s="1"/>
  <c r="AV297" i="106"/>
  <c r="AV437" i="5" s="1"/>
  <c r="AS297" i="106"/>
  <c r="AS437" i="5" s="1"/>
  <c r="AS304" i="106"/>
  <c r="AS444" i="5" s="1"/>
  <c r="AU297" i="106"/>
  <c r="AU437" i="5" s="1"/>
  <c r="AR323" i="106" l="1"/>
  <c r="AR463" i="5" s="1"/>
  <c r="AR302" i="106"/>
  <c r="AR442" i="5" s="1"/>
  <c r="AR316" i="106"/>
  <c r="AR456" i="5" s="1"/>
  <c r="AU316" i="106"/>
  <c r="AU456" i="5" s="1"/>
  <c r="AR330" i="106"/>
  <c r="AR470" i="5" s="1"/>
  <c r="AT330" i="106"/>
  <c r="AT470" i="5" s="1"/>
  <c r="AU330" i="106"/>
  <c r="AU470" i="5" s="1"/>
  <c r="AT316" i="106"/>
  <c r="AT456" i="5" s="1"/>
  <c r="AS295" i="106"/>
  <c r="AS435" i="5" s="1"/>
  <c r="AU323" i="106"/>
  <c r="AU463" i="5" s="1"/>
  <c r="AT323" i="106"/>
  <c r="AT463" i="5" s="1"/>
  <c r="AR295" i="106" l="1"/>
  <c r="AR435" i="5" s="1"/>
  <c r="AV295" i="106"/>
  <c r="AV435" i="5" s="1"/>
  <c r="AT295" i="106" l="1"/>
  <c r="AT435" i="5" s="1"/>
  <c r="AU295" i="106"/>
  <c r="AU435" i="5" s="1"/>
  <c r="AR297" i="106" l="1"/>
  <c r="AR437" i="5" s="1"/>
  <c r="AR304" i="106"/>
  <c r="AR444" i="5" s="1"/>
  <c r="AR318" i="106"/>
  <c r="AR458" i="5" s="1"/>
  <c r="AR325" i="106"/>
  <c r="AR465" i="5" s="1"/>
  <c r="AR332" i="106"/>
  <c r="AR472" i="5" s="1"/>
  <c r="AT333" i="106" l="1"/>
  <c r="AT473" i="5" s="1"/>
  <c r="AS333" i="106"/>
  <c r="AS473" i="5" s="1"/>
  <c r="AR333" i="106"/>
  <c r="AR473" i="5" s="1"/>
  <c r="AT305" i="106"/>
  <c r="AT445" i="5" s="1"/>
  <c r="AR298" i="106" l="1"/>
  <c r="AR438" i="5" s="1"/>
  <c r="AT326" i="106"/>
  <c r="AT466" i="5" s="1"/>
  <c r="AS326" i="106"/>
  <c r="AS466" i="5" s="1"/>
  <c r="AS319" i="106"/>
  <c r="AS459" i="5" s="1"/>
  <c r="AU333" i="106"/>
  <c r="AU473" i="5" s="1"/>
  <c r="AT319" i="106"/>
  <c r="AT459" i="5" s="1"/>
  <c r="AS305" i="106"/>
  <c r="AS445" i="5" s="1"/>
  <c r="AR319" i="106"/>
  <c r="AR459" i="5" s="1"/>
  <c r="AR326" i="106"/>
  <c r="AR466" i="5" s="1"/>
  <c r="AR305" i="106"/>
  <c r="AR445" i="5" s="1"/>
  <c r="AU326" i="106"/>
  <c r="AU466" i="5" s="1"/>
  <c r="AU305" i="106"/>
  <c r="AU445" i="5" s="1"/>
  <c r="AU319" i="106"/>
  <c r="AU459" i="5" s="1"/>
  <c r="AV326" i="106" l="1"/>
  <c r="AV466" i="5" s="1"/>
  <c r="AV333" i="106"/>
  <c r="AV473" i="5" s="1"/>
  <c r="AV319" i="106"/>
  <c r="AV459" i="5" s="1"/>
  <c r="AV305" i="106"/>
  <c r="AV445" i="5" s="1"/>
  <c r="AU298" i="106"/>
  <c r="AU438" i="5" s="1"/>
  <c r="AT298" i="106"/>
  <c r="AT438" i="5" s="1"/>
  <c r="AS298" i="106" l="1"/>
  <c r="AS438" i="5" s="1"/>
  <c r="AV298" i="106"/>
  <c r="AV438" i="5" s="1"/>
  <c r="AS331" i="106" l="1"/>
  <c r="AS471" i="5" s="1"/>
  <c r="AS335" i="106"/>
  <c r="AS475" i="5" s="1"/>
  <c r="AS328" i="106"/>
  <c r="AS468" i="5" s="1"/>
  <c r="AS321" i="106"/>
  <c r="AS461" i="5" s="1"/>
  <c r="AS307" i="106"/>
  <c r="AS447" i="5" s="1"/>
  <c r="AS324" i="106" l="1"/>
  <c r="AS464" i="5" s="1"/>
  <c r="AS317" i="106"/>
  <c r="AS457" i="5" s="1"/>
  <c r="AS303" i="106"/>
  <c r="AS443" i="5" s="1"/>
  <c r="AR307" i="106"/>
  <c r="AR447" i="5" s="1"/>
  <c r="AT317" i="106" l="1"/>
  <c r="AT457" i="5" s="1"/>
  <c r="AU303" i="106"/>
  <c r="AU443" i="5" s="1"/>
  <c r="AU307" i="106"/>
  <c r="AU447" i="5" s="1"/>
  <c r="AS296" i="106"/>
  <c r="AS436" i="5" s="1"/>
  <c r="AR328" i="106"/>
  <c r="AR468" i="5" s="1"/>
  <c r="AR321" i="106"/>
  <c r="AR461" i="5" s="1"/>
  <c r="AS300" i="106"/>
  <c r="AS440" i="5" s="1"/>
  <c r="AT307" i="106"/>
  <c r="AT447" i="5" s="1"/>
  <c r="AT321" i="106"/>
  <c r="AT461" i="5" s="1"/>
  <c r="AR335" i="106"/>
  <c r="AR475" i="5" s="1"/>
  <c r="AT328" i="106"/>
  <c r="AT468" i="5" s="1"/>
  <c r="AT335" i="106"/>
  <c r="AT475" i="5" s="1"/>
  <c r="AT303" i="106" l="1"/>
  <c r="AT443" i="5" s="1"/>
  <c r="AU324" i="106"/>
  <c r="AU464" i="5" s="1"/>
  <c r="AV303" i="106"/>
  <c r="AV443" i="5" s="1"/>
  <c r="AV317" i="106"/>
  <c r="AV457" i="5" s="1"/>
  <c r="AS329" i="106"/>
  <c r="AS469" i="5" s="1"/>
  <c r="AV307" i="106"/>
  <c r="AV447" i="5" s="1"/>
  <c r="AU321" i="106"/>
  <c r="AU461" i="5" s="1"/>
  <c r="AS308" i="106"/>
  <c r="AS448" i="5" s="1"/>
  <c r="AU328" i="106"/>
  <c r="AU468" i="5" s="1"/>
  <c r="AU331" i="106"/>
  <c r="AU471" i="5" s="1"/>
  <c r="AT331" i="106"/>
  <c r="AT471" i="5" s="1"/>
  <c r="AU317" i="106"/>
  <c r="AU457" i="5" s="1"/>
  <c r="AT324" i="106"/>
  <c r="AT464" i="5" s="1"/>
  <c r="AU335" i="106"/>
  <c r="AU475" i="5" s="1"/>
  <c r="AV331" i="106" l="1"/>
  <c r="AV471" i="5" s="1"/>
  <c r="AV324" i="106"/>
  <c r="AV464" i="5" s="1"/>
  <c r="AS322" i="106"/>
  <c r="AS462" i="5" s="1"/>
  <c r="AT300" i="106"/>
  <c r="AT440" i="5" s="1"/>
  <c r="AV321" i="106"/>
  <c r="AV461" i="5" s="1"/>
  <c r="AR300" i="106"/>
  <c r="AR440" i="5" s="1"/>
  <c r="AT296" i="106"/>
  <c r="AT436" i="5" s="1"/>
  <c r="AV335" i="106"/>
  <c r="AV475" i="5" s="1"/>
  <c r="AV328" i="106"/>
  <c r="AV468" i="5" s="1"/>
  <c r="AS336" i="106"/>
  <c r="AS476" i="5" s="1"/>
  <c r="AR331" i="106" l="1"/>
  <c r="AR471" i="5" s="1"/>
  <c r="AR324" i="106"/>
  <c r="AR464" i="5" s="1"/>
  <c r="AT308" i="106"/>
  <c r="AT448" i="5" s="1"/>
  <c r="AR303" i="106"/>
  <c r="AR443" i="5" s="1"/>
  <c r="AU296" i="106"/>
  <c r="AU436" i="5" s="1"/>
  <c r="AU300" i="106"/>
  <c r="AU440" i="5" s="1"/>
  <c r="AV296" i="106"/>
  <c r="AV436" i="5" s="1"/>
  <c r="AR317" i="106"/>
  <c r="AR457" i="5" s="1"/>
  <c r="AV308" i="106" l="1"/>
  <c r="AV448" i="5" s="1"/>
  <c r="AU336" i="106"/>
  <c r="AU476" i="5" s="1"/>
  <c r="AU322" i="106"/>
  <c r="AU462" i="5" s="1"/>
  <c r="AU308" i="106"/>
  <c r="AU448" i="5" s="1"/>
  <c r="AT329" i="106"/>
  <c r="AT469" i="5" s="1"/>
  <c r="AT322" i="106"/>
  <c r="AT462" i="5" s="1"/>
  <c r="AV300" i="106"/>
  <c r="AV440" i="5" s="1"/>
  <c r="AU329" i="106"/>
  <c r="AU469" i="5" s="1"/>
  <c r="AT336" i="106"/>
  <c r="AT476" i="5" s="1"/>
  <c r="AS301" i="106"/>
  <c r="AS441" i="5" s="1"/>
  <c r="AR296" i="106"/>
  <c r="AR436" i="5" s="1"/>
  <c r="AV322" i="106" l="1"/>
  <c r="AV462" i="5" s="1"/>
  <c r="AV329" i="106"/>
  <c r="AV469" i="5" s="1"/>
  <c r="AV336" i="106"/>
  <c r="AV476" i="5" s="1"/>
  <c r="AT301" i="106"/>
  <c r="AT441" i="5" s="1"/>
  <c r="AU301" i="106" l="1"/>
  <c r="AU441" i="5" s="1"/>
  <c r="AV301" i="106" l="1"/>
  <c r="AV441" i="5" s="1"/>
  <c r="AR336" i="106" l="1"/>
  <c r="AR476" i="5" s="1"/>
  <c r="AR322" i="106" l="1"/>
  <c r="AR462" i="5" s="1"/>
  <c r="AR329" i="106"/>
  <c r="AR469" i="5" s="1"/>
  <c r="AR308" i="106"/>
  <c r="AR448" i="5" s="1"/>
  <c r="AR301" i="106" l="1"/>
  <c r="AR441" i="5" s="1"/>
  <c r="AT178" i="106" l="1"/>
  <c r="AT118" i="5" s="1"/>
  <c r="AR180" i="106"/>
  <c r="AR120" i="5" s="1"/>
  <c r="AU181" i="106"/>
  <c r="AU121" i="5" s="1"/>
  <c r="AV177" i="106"/>
  <c r="AV117" i="5" s="1"/>
  <c r="AT179" i="106"/>
  <c r="AT119" i="5" s="1"/>
  <c r="AR181" i="106"/>
  <c r="AR121" i="5" s="1"/>
  <c r="AU182" i="106"/>
  <c r="AU122" i="5" s="1"/>
  <c r="AR177" i="106"/>
  <c r="AR117" i="5" s="1"/>
  <c r="AU178" i="106"/>
  <c r="AU118" i="5" s="1"/>
  <c r="AS180" i="106"/>
  <c r="AS120" i="5" s="1"/>
  <c r="AV181" i="106"/>
  <c r="AV121" i="5" s="1"/>
  <c r="AT177" i="106"/>
  <c r="AT117" i="5" s="1"/>
  <c r="AR179" i="106"/>
  <c r="AR119" i="5" s="1"/>
  <c r="AU180" i="106"/>
  <c r="AU120" i="5" s="1"/>
  <c r="AS182" i="106"/>
  <c r="AS122" i="5" s="1"/>
  <c r="AU177" i="106"/>
  <c r="AU117" i="5" s="1"/>
  <c r="AS179" i="106"/>
  <c r="AS119" i="5" s="1"/>
  <c r="AV180" i="106"/>
  <c r="AV120" i="5" s="1"/>
  <c r="AT182" i="106"/>
  <c r="AT122" i="5" s="1"/>
  <c r="AR178" i="106"/>
  <c r="AR118" i="5" s="1"/>
  <c r="AU179" i="106"/>
  <c r="AU119" i="5" s="1"/>
  <c r="AS181" i="106"/>
  <c r="AS121" i="5" s="1"/>
  <c r="AV182" i="106"/>
  <c r="AV122" i="5" s="1"/>
  <c r="AS177" i="106"/>
  <c r="AS117" i="5" s="1"/>
  <c r="AV178" i="106"/>
  <c r="AV118" i="5" s="1"/>
  <c r="AT180" i="106"/>
  <c r="AT120" i="5" s="1"/>
  <c r="AR182" i="106"/>
  <c r="AR122" i="5" s="1"/>
  <c r="AS178" i="106"/>
  <c r="AS118" i="5" s="1"/>
  <c r="AV179" i="106"/>
  <c r="AV119" i="5" s="1"/>
  <c r="AT181" i="106"/>
  <c r="AT121" i="5" s="1"/>
  <c r="AU124" i="5" l="1"/>
  <c r="AU34" i="15" s="1"/>
  <c r="AV123" i="5"/>
  <c r="AV17" i="16" s="1"/>
  <c r="AR124" i="5"/>
  <c r="AR123" i="5"/>
  <c r="AR17" i="16" s="1"/>
  <c r="AU123" i="5"/>
  <c r="AU17" i="16" s="1"/>
  <c r="AS124" i="5"/>
  <c r="AS123" i="5"/>
  <c r="AS17" i="16" s="1"/>
  <c r="AV124" i="5"/>
  <c r="AT124" i="5"/>
  <c r="AT123" i="5"/>
  <c r="AT17" i="16" s="1"/>
  <c r="AU33" i="17" l="1"/>
  <c r="AS34" i="15"/>
  <c r="AS33" i="17"/>
  <c r="AV34" i="15"/>
  <c r="AV33" i="17"/>
  <c r="AR34" i="15"/>
  <c r="AR33" i="17"/>
  <c r="AT34" i="15"/>
  <c r="AT33" i="17"/>
  <c r="AU61" i="101" l="1"/>
  <c r="AU62" i="101" s="1"/>
  <c r="AR200" i="106" l="1"/>
  <c r="AR138" i="5" s="1"/>
  <c r="AS198" i="106"/>
  <c r="AS136" i="5" s="1"/>
  <c r="AS191" i="106"/>
  <c r="AS129" i="5" s="1"/>
  <c r="AU193" i="106"/>
  <c r="AU131" i="5" s="1"/>
  <c r="AR196" i="106"/>
  <c r="AR134" i="5" s="1"/>
  <c r="AT200" i="106"/>
  <c r="AT138" i="5" s="1"/>
  <c r="AV202" i="106"/>
  <c r="AV140" i="5" s="1"/>
  <c r="AS205" i="106"/>
  <c r="AS146" i="5" s="1"/>
  <c r="AR193" i="106"/>
  <c r="AR131" i="5" s="1"/>
  <c r="AT195" i="106"/>
  <c r="AT133" i="5" s="1"/>
  <c r="AV197" i="106"/>
  <c r="AV135" i="5" s="1"/>
  <c r="AS202" i="106"/>
  <c r="AS140" i="5" s="1"/>
  <c r="AU204" i="106"/>
  <c r="AU142" i="5" s="1"/>
  <c r="AT191" i="106"/>
  <c r="AT129" i="5" s="1"/>
  <c r="AV193" i="106"/>
  <c r="AV131" i="5" s="1"/>
  <c r="AS196" i="106"/>
  <c r="AS134" i="5" s="1"/>
  <c r="AT198" i="106"/>
  <c r="AT136" i="5" s="1"/>
  <c r="AU200" i="106"/>
  <c r="AU138" i="5" s="1"/>
  <c r="AR203" i="106"/>
  <c r="AR141" i="5" s="1"/>
  <c r="AT205" i="106"/>
  <c r="AT146" i="5" s="1"/>
  <c r="AU191" i="106"/>
  <c r="AU129" i="5" s="1"/>
  <c r="AR194" i="106"/>
  <c r="AR132" i="5" s="1"/>
  <c r="AT196" i="106"/>
  <c r="AT134" i="5" s="1"/>
  <c r="AU198" i="106"/>
  <c r="AU136" i="5" s="1"/>
  <c r="AV200" i="106"/>
  <c r="AV138" i="5" s="1"/>
  <c r="AS203" i="106"/>
  <c r="AS141" i="5" s="1"/>
  <c r="AU205" i="106"/>
  <c r="AU146" i="5" s="1"/>
  <c r="AV191" i="106"/>
  <c r="AV129" i="5" s="1"/>
  <c r="AS194" i="106"/>
  <c r="AS132" i="5" s="1"/>
  <c r="AU196" i="106"/>
  <c r="AU134" i="5" s="1"/>
  <c r="AV198" i="106"/>
  <c r="AV136" i="5" s="1"/>
  <c r="AR201" i="106"/>
  <c r="AR139" i="5" s="1"/>
  <c r="AT203" i="106"/>
  <c r="AT141" i="5" s="1"/>
  <c r="AV205" i="106"/>
  <c r="AV146" i="5" s="1"/>
  <c r="AS193" i="106"/>
  <c r="AS131" i="5" s="1"/>
  <c r="AU195" i="106"/>
  <c r="AU133" i="5" s="1"/>
  <c r="AR198" i="106"/>
  <c r="AR136" i="5" s="1"/>
  <c r="AT202" i="106"/>
  <c r="AT140" i="5" s="1"/>
  <c r="AV204" i="106"/>
  <c r="AV142" i="5" s="1"/>
  <c r="AR192" i="106"/>
  <c r="AR130" i="5" s="1"/>
  <c r="AT194" i="106"/>
  <c r="AT132" i="5" s="1"/>
  <c r="AV196" i="106"/>
  <c r="AV134" i="5" s="1"/>
  <c r="AR199" i="106"/>
  <c r="AR137" i="5" s="1"/>
  <c r="AS201" i="106"/>
  <c r="AS139" i="5" s="1"/>
  <c r="AU203" i="106"/>
  <c r="AU141" i="5" s="1"/>
  <c r="AR206" i="106"/>
  <c r="AR147" i="5" s="1"/>
  <c r="AR191" i="106"/>
  <c r="AR129" i="5" s="1"/>
  <c r="AT193" i="106"/>
  <c r="AT131" i="5" s="1"/>
  <c r="AV195" i="106"/>
  <c r="AV133" i="5" s="1"/>
  <c r="AS200" i="106"/>
  <c r="AS138" i="5" s="1"/>
  <c r="AU202" i="106"/>
  <c r="AU140" i="5" s="1"/>
  <c r="AR205" i="106"/>
  <c r="AR146" i="5" s="1"/>
  <c r="AS192" i="106"/>
  <c r="AS130" i="5" s="1"/>
  <c r="AU194" i="106"/>
  <c r="AU132" i="5" s="1"/>
  <c r="AR197" i="106"/>
  <c r="AR135" i="5" s="1"/>
  <c r="AS199" i="106"/>
  <c r="AS137" i="5" s="1"/>
  <c r="AT201" i="106"/>
  <c r="AT139" i="5" s="1"/>
  <c r="AV203" i="106"/>
  <c r="AV141" i="5" s="1"/>
  <c r="AS206" i="106"/>
  <c r="AS147" i="5" s="1"/>
  <c r="AV192" i="106"/>
  <c r="AV130" i="5" s="1"/>
  <c r="AS195" i="106"/>
  <c r="AS133" i="5" s="1"/>
  <c r="AU197" i="106"/>
  <c r="AU135" i="5" s="1"/>
  <c r="AV199" i="106"/>
  <c r="AV137" i="5" s="1"/>
  <c r="AT204" i="106"/>
  <c r="AT142" i="5" s="1"/>
  <c r="AT192" i="106"/>
  <c r="AT130" i="5" s="1"/>
  <c r="AV194" i="106"/>
  <c r="AV132" i="5" s="1"/>
  <c r="AS197" i="106"/>
  <c r="AS135" i="5" s="1"/>
  <c r="AT199" i="106"/>
  <c r="AT137" i="5" s="1"/>
  <c r="AU201" i="106"/>
  <c r="AU139" i="5" s="1"/>
  <c r="AR204" i="106"/>
  <c r="AR142" i="5" s="1"/>
  <c r="AT206" i="106"/>
  <c r="AT147" i="5" s="1"/>
  <c r="AR202" i="106"/>
  <c r="AR140" i="5" s="1"/>
  <c r="AV206" i="106"/>
  <c r="AV147" i="5" s="1"/>
  <c r="AU192" i="106"/>
  <c r="AU130" i="5" s="1"/>
  <c r="AR195" i="106"/>
  <c r="AR133" i="5" s="1"/>
  <c r="AT197" i="106"/>
  <c r="AT135" i="5" s="1"/>
  <c r="AU199" i="106"/>
  <c r="AU137" i="5" s="1"/>
  <c r="AV201" i="106"/>
  <c r="AV139" i="5" s="1"/>
  <c r="AS204" i="106"/>
  <c r="AS142" i="5" s="1"/>
  <c r="AU206" i="106"/>
  <c r="AU147" i="5" s="1"/>
  <c r="AR143" i="5" l="1"/>
  <c r="AS144" i="5"/>
  <c r="AU144" i="5"/>
  <c r="AR149" i="5"/>
  <c r="AR18" i="16" s="1"/>
  <c r="AR151" i="5"/>
  <c r="AR202" i="17" s="1"/>
  <c r="AR249" i="17" s="1"/>
  <c r="AS143" i="5"/>
  <c r="AS251" i="17" s="1"/>
  <c r="AU143" i="5"/>
  <c r="AS149" i="5"/>
  <c r="AS18" i="16" s="1"/>
  <c r="AS151" i="5"/>
  <c r="AS202" i="17" s="1"/>
  <c r="AS249" i="17" s="1"/>
  <c r="AU151" i="5"/>
  <c r="AU202" i="17" s="1"/>
  <c r="AU249" i="17" s="1"/>
  <c r="AU149" i="5"/>
  <c r="AU18" i="16" s="1"/>
  <c r="AV144" i="5"/>
  <c r="AT144" i="5"/>
  <c r="AT151" i="5"/>
  <c r="AT202" i="17" s="1"/>
  <c r="AT249" i="17" s="1"/>
  <c r="AT149" i="5"/>
  <c r="AT18" i="16" s="1"/>
  <c r="AT143" i="5"/>
  <c r="AR144" i="5"/>
  <c r="AR251" i="17" s="1"/>
  <c r="AV151" i="5"/>
  <c r="AV202" i="17" s="1"/>
  <c r="AV249" i="17" s="1"/>
  <c r="AV149" i="5"/>
  <c r="AV18" i="16" s="1"/>
  <c r="AV143" i="5"/>
  <c r="AS150" i="5" l="1"/>
  <c r="AS30" i="17" s="1"/>
  <c r="AR150" i="5"/>
  <c r="AR30" i="17" s="1"/>
  <c r="AU150" i="5"/>
  <c r="AU30" i="17" s="1"/>
  <c r="AU251" i="17"/>
  <c r="AV150" i="5"/>
  <c r="AV30" i="17" s="1"/>
  <c r="AV251" i="17"/>
  <c r="AT150" i="5"/>
  <c r="AT30" i="17" s="1"/>
  <c r="AT251" i="17"/>
  <c r="AU41" i="106" l="1"/>
  <c r="AU348" i="5" s="1"/>
  <c r="AU42" i="106"/>
  <c r="AU349" i="5" s="1"/>
  <c r="AV41" i="106"/>
  <c r="AV348" i="5" s="1"/>
  <c r="AV42" i="106"/>
  <c r="AV349" i="5" s="1"/>
  <c r="AV56" i="106" l="1"/>
  <c r="AV363" i="5" s="1"/>
  <c r="AS27" i="106"/>
  <c r="AS334" i="5" s="1"/>
  <c r="AS45" i="106"/>
  <c r="AS352" i="5" s="1"/>
  <c r="AU46" i="106"/>
  <c r="AU353" i="5" s="1"/>
  <c r="AU149" i="106"/>
  <c r="AU87" i="5" s="1"/>
  <c r="AT153" i="106"/>
  <c r="AT91" i="5" s="1"/>
  <c r="AT166" i="106"/>
  <c r="AT105" i="5" s="1"/>
  <c r="AV46" i="106"/>
  <c r="AV353" i="5" s="1"/>
  <c r="AT32" i="106"/>
  <c r="AT339" i="5" s="1"/>
  <c r="AR45" i="106"/>
  <c r="AR352" i="5" s="1"/>
  <c r="AT46" i="106"/>
  <c r="AT353" i="5" s="1"/>
  <c r="AV30" i="106"/>
  <c r="AV337" i="5" s="1"/>
  <c r="AT145" i="106"/>
  <c r="AT83" i="5" s="1"/>
  <c r="AT149" i="106"/>
  <c r="AT87" i="5" s="1"/>
  <c r="AS153" i="106"/>
  <c r="AS91" i="5" s="1"/>
  <c r="AR166" i="106"/>
  <c r="AR105" i="5" s="1"/>
  <c r="AU145" i="106"/>
  <c r="AU83" i="5" s="1"/>
  <c r="AT45" i="106"/>
  <c r="AT352" i="5" s="1"/>
  <c r="AV36" i="106"/>
  <c r="AV343" i="5" s="1"/>
  <c r="AU45" i="106"/>
  <c r="AU352" i="5" s="1"/>
  <c r="AR47" i="106"/>
  <c r="AR354" i="5" s="1"/>
  <c r="AV63" i="106"/>
  <c r="AV370" i="5" s="1"/>
  <c r="AV148" i="106"/>
  <c r="AV86" i="5" s="1"/>
  <c r="AV152" i="106"/>
  <c r="AV90" i="5" s="1"/>
  <c r="AV156" i="106"/>
  <c r="AV94" i="5" s="1"/>
  <c r="AU56" i="106"/>
  <c r="AU363" i="5" s="1"/>
  <c r="AS57" i="106"/>
  <c r="AS364" i="5" s="1"/>
  <c r="AS43" i="106"/>
  <c r="AS350" i="5" s="1"/>
  <c r="AS59" i="106"/>
  <c r="AS366" i="5" s="1"/>
  <c r="AR48" i="106"/>
  <c r="AR355" i="5" s="1"/>
  <c r="AT47" i="106"/>
  <c r="AT354" i="5" s="1"/>
  <c r="AV153" i="106"/>
  <c r="AV91" i="5" s="1"/>
  <c r="AR43" i="106"/>
  <c r="AR350" i="5" s="1"/>
  <c r="AS47" i="106"/>
  <c r="AS354" i="5" s="1"/>
  <c r="AV146" i="106"/>
  <c r="AV84" i="5" s="1"/>
  <c r="AV150" i="106"/>
  <c r="AV88" i="5" s="1"/>
  <c r="AU154" i="106"/>
  <c r="AU92" i="5" s="1"/>
  <c r="AT57" i="106"/>
  <c r="AT364" i="5" s="1"/>
  <c r="AT43" i="106"/>
  <c r="AT350" i="5" s="1"/>
  <c r="AV28" i="106"/>
  <c r="AV335" i="5" s="1"/>
  <c r="AT59" i="106"/>
  <c r="AT366" i="5" s="1"/>
  <c r="AS48" i="106"/>
  <c r="AS355" i="5" s="1"/>
  <c r="AU47" i="106"/>
  <c r="AU354" i="5" s="1"/>
  <c r="AV145" i="106"/>
  <c r="AV83" i="5" s="1"/>
  <c r="AV149" i="106"/>
  <c r="AV87" i="5" s="1"/>
  <c r="AU153" i="106"/>
  <c r="AU91" i="5" s="1"/>
  <c r="AU166" i="106"/>
  <c r="AU105" i="5" s="1"/>
  <c r="AT146" i="106"/>
  <c r="AT84" i="5" s="1"/>
  <c r="AT150" i="106"/>
  <c r="AT88" i="5" s="1"/>
  <c r="AR57" i="106"/>
  <c r="AR364" i="5" s="1"/>
  <c r="AR59" i="106"/>
  <c r="AR366" i="5" s="1"/>
  <c r="AV45" i="106"/>
  <c r="AV352" i="5" s="1"/>
  <c r="AU146" i="106"/>
  <c r="AU84" i="5" s="1"/>
  <c r="AU150" i="106"/>
  <c r="AU88" i="5" s="1"/>
  <c r="AU57" i="106"/>
  <c r="AU364" i="5" s="1"/>
  <c r="AS31" i="106"/>
  <c r="AS338" i="5" s="1"/>
  <c r="AT48" i="106"/>
  <c r="AT355" i="5" s="1"/>
  <c r="AV47" i="106"/>
  <c r="AV354" i="5" s="1"/>
  <c r="AR63" i="106"/>
  <c r="AR370" i="5" s="1"/>
  <c r="AU147" i="106"/>
  <c r="AU85" i="5" s="1"/>
  <c r="AU151" i="106"/>
  <c r="AU89" i="5" s="1"/>
  <c r="AR156" i="106"/>
  <c r="AR94" i="5" s="1"/>
  <c r="AV57" i="106"/>
  <c r="AV364" i="5" s="1"/>
  <c r="AV43" i="106"/>
  <c r="AV350" i="5" s="1"/>
  <c r="AT31" i="106"/>
  <c r="AT338" i="5" s="1"/>
  <c r="AV59" i="106"/>
  <c r="AV366" i="5" s="1"/>
  <c r="AU48" i="106"/>
  <c r="AU355" i="5" s="1"/>
  <c r="AR30" i="106"/>
  <c r="AR337" i="5" s="1"/>
  <c r="AS44" i="106"/>
  <c r="AS351" i="5" s="1"/>
  <c r="AR153" i="106"/>
  <c r="AR91" i="5" s="1"/>
  <c r="AT154" i="106"/>
  <c r="AT92" i="5" s="1"/>
  <c r="AT147" i="106"/>
  <c r="AT85" i="5" s="1"/>
  <c r="AT151" i="106"/>
  <c r="AT89" i="5" s="1"/>
  <c r="AV154" i="106"/>
  <c r="AV92" i="5" s="1"/>
  <c r="AU43" i="106"/>
  <c r="AU350" i="5" s="1"/>
  <c r="AU59" i="106"/>
  <c r="AU366" i="5" s="1"/>
  <c r="AR44" i="106"/>
  <c r="AR351" i="5" s="1"/>
  <c r="AS63" i="106"/>
  <c r="AS370" i="5" s="1"/>
  <c r="AV147" i="106"/>
  <c r="AV85" i="5" s="1"/>
  <c r="AV151" i="106"/>
  <c r="AV89" i="5" s="1"/>
  <c r="AS156" i="106"/>
  <c r="AS94" i="5" s="1"/>
  <c r="AR56" i="106"/>
  <c r="AR363" i="5" s="1"/>
  <c r="AU31" i="106"/>
  <c r="AU338" i="5" s="1"/>
  <c r="AS53" i="106"/>
  <c r="AS360" i="5" s="1"/>
  <c r="AV48" i="106"/>
  <c r="AV355" i="5" s="1"/>
  <c r="AS30" i="106"/>
  <c r="AS337" i="5" s="1"/>
  <c r="AT44" i="106"/>
  <c r="AT351" i="5" s="1"/>
  <c r="AT63" i="106"/>
  <c r="AT370" i="5" s="1"/>
  <c r="AT148" i="106"/>
  <c r="AT86" i="5" s="1"/>
  <c r="AT152" i="106"/>
  <c r="AT90" i="5" s="1"/>
  <c r="AT156" i="106"/>
  <c r="AT94" i="5" s="1"/>
  <c r="AS56" i="106"/>
  <c r="AS363" i="5" s="1"/>
  <c r="AV31" i="106"/>
  <c r="AV338" i="5" s="1"/>
  <c r="AT53" i="106"/>
  <c r="AT360" i="5" s="1"/>
  <c r="AR46" i="106"/>
  <c r="AR353" i="5" s="1"/>
  <c r="AT30" i="106"/>
  <c r="AT337" i="5" s="1"/>
  <c r="AU44" i="106"/>
  <c r="AU351" i="5" s="1"/>
  <c r="AV155" i="106"/>
  <c r="AV93" i="5" s="1"/>
  <c r="AU63" i="106"/>
  <c r="AU370" i="5" s="1"/>
  <c r="AU148" i="106"/>
  <c r="AU86" i="5" s="1"/>
  <c r="AU152" i="106"/>
  <c r="AU90" i="5" s="1"/>
  <c r="AU156" i="106"/>
  <c r="AU94" i="5" s="1"/>
  <c r="AT56" i="106"/>
  <c r="AT363" i="5" s="1"/>
  <c r="AS32" i="106"/>
  <c r="AS339" i="5" s="1"/>
  <c r="AU53" i="106"/>
  <c r="AU360" i="5" s="1"/>
  <c r="AS46" i="106"/>
  <c r="AS353" i="5" s="1"/>
  <c r="AU30" i="106"/>
  <c r="AU337" i="5" s="1"/>
  <c r="AV44" i="106"/>
  <c r="AV351" i="5" s="1"/>
  <c r="AU155" i="106"/>
  <c r="AU93" i="5" s="1"/>
  <c r="AU97" i="5" l="1"/>
  <c r="AV32" i="106"/>
  <c r="AV339" i="5" s="1"/>
  <c r="AV27" i="106"/>
  <c r="AV334" i="5" s="1"/>
  <c r="AV168" i="106"/>
  <c r="AV107" i="5" s="1"/>
  <c r="AT33" i="106"/>
  <c r="AT340" i="5" s="1"/>
  <c r="AT41" i="106"/>
  <c r="AT348" i="5" s="1"/>
  <c r="AR52" i="106"/>
  <c r="AR359" i="5" s="1"/>
  <c r="AR60" i="106"/>
  <c r="AR367" i="5" s="1"/>
  <c r="AR53" i="106"/>
  <c r="AR360" i="5" s="1"/>
  <c r="AR31" i="106"/>
  <c r="AR338" i="5" s="1"/>
  <c r="AP338" i="5" s="1"/>
  <c r="AT55" i="106"/>
  <c r="AT362" i="5" s="1"/>
  <c r="AS165" i="106"/>
  <c r="AS104" i="5" s="1"/>
  <c r="AR168" i="106"/>
  <c r="AR107" i="5" s="1"/>
  <c r="AR55" i="106"/>
  <c r="AR362" i="5" s="1"/>
  <c r="AV33" i="106"/>
  <c r="AV340" i="5" s="1"/>
  <c r="AV60" i="106"/>
  <c r="AV367" i="5" s="1"/>
  <c r="AS36" i="106"/>
  <c r="AS343" i="5" s="1"/>
  <c r="AR32" i="106"/>
  <c r="AR339" i="5" s="1"/>
  <c r="AS51" i="106"/>
  <c r="AS358" i="5" s="1"/>
  <c r="AT51" i="106"/>
  <c r="AT358" i="5" s="1"/>
  <c r="AS168" i="106"/>
  <c r="AS107" i="5" s="1"/>
  <c r="AU33" i="106"/>
  <c r="AU340" i="5" s="1"/>
  <c r="AV53" i="106"/>
  <c r="AV360" i="5" s="1"/>
  <c r="AT27" i="106"/>
  <c r="AT334" i="5" s="1"/>
  <c r="AU27" i="106"/>
  <c r="AU334" i="5" s="1"/>
  <c r="AR29" i="106"/>
  <c r="AR336" i="5" s="1"/>
  <c r="AT168" i="106"/>
  <c r="AT107" i="5" s="1"/>
  <c r="AV51" i="106"/>
  <c r="AV358" i="5" s="1"/>
  <c r="AR165" i="106"/>
  <c r="AR104" i="5" s="1"/>
  <c r="AS29" i="106"/>
  <c r="AS336" i="5" s="1"/>
  <c r="AU29" i="106"/>
  <c r="AU336" i="5" s="1"/>
  <c r="AU32" i="106"/>
  <c r="AU339" i="5" s="1"/>
  <c r="AT28" i="106"/>
  <c r="AT335" i="5" s="1"/>
  <c r="AV49" i="106"/>
  <c r="AV356" i="5" s="1"/>
  <c r="AP337" i="5"/>
  <c r="AP364" i="5"/>
  <c r="AP354" i="5"/>
  <c r="AP352" i="5"/>
  <c r="AU55" i="106"/>
  <c r="AU362" i="5" s="1"/>
  <c r="AU60" i="106"/>
  <c r="AU367" i="5" s="1"/>
  <c r="AP363" i="5"/>
  <c r="AS28" i="106"/>
  <c r="AS335" i="5" s="1"/>
  <c r="AT58" i="106"/>
  <c r="AT365" i="5" s="1"/>
  <c r="AT49" i="106"/>
  <c r="AT356" i="5" s="1"/>
  <c r="AT155" i="106"/>
  <c r="AT93" i="5" s="1"/>
  <c r="AT97" i="5" s="1"/>
  <c r="AV58" i="106"/>
  <c r="AV365" i="5" s="1"/>
  <c r="AV26" i="106"/>
  <c r="AV333" i="5" s="1"/>
  <c r="AT42" i="106"/>
  <c r="AT349" i="5" s="1"/>
  <c r="AS37" i="106"/>
  <c r="AS344" i="5" s="1"/>
  <c r="AS52" i="106"/>
  <c r="AS359" i="5" s="1"/>
  <c r="AR37" i="106"/>
  <c r="AR344" i="5" s="1"/>
  <c r="AU40" i="106"/>
  <c r="AU347" i="5" s="1"/>
  <c r="AR28" i="106"/>
  <c r="AR335" i="5" s="1"/>
  <c r="AT36" i="106"/>
  <c r="AT343" i="5" s="1"/>
  <c r="AT29" i="106"/>
  <c r="AT336" i="5" s="1"/>
  <c r="AS49" i="106"/>
  <c r="AS356" i="5" s="1"/>
  <c r="AS26" i="106"/>
  <c r="AS333" i="5" s="1"/>
  <c r="AU36" i="106"/>
  <c r="AU343" i="5" s="1"/>
  <c r="AT60" i="106"/>
  <c r="AT367" i="5" s="1"/>
  <c r="AR169" i="106"/>
  <c r="AR108" i="5" s="1"/>
  <c r="AS42" i="106"/>
  <c r="AS349" i="5" s="1"/>
  <c r="AS60" i="106"/>
  <c r="AS367" i="5" s="1"/>
  <c r="AU49" i="106"/>
  <c r="AU356" i="5" s="1"/>
  <c r="AP353" i="5"/>
  <c r="AV97" i="5"/>
  <c r="AP355" i="5"/>
  <c r="AU168" i="106"/>
  <c r="AU107" i="5" s="1"/>
  <c r="AR42" i="106"/>
  <c r="AR349" i="5" s="1"/>
  <c r="AT52" i="106"/>
  <c r="AT359" i="5" s="1"/>
  <c r="AU28" i="106"/>
  <c r="AU335" i="5" s="1"/>
  <c r="AV52" i="106"/>
  <c r="AV359" i="5" s="1"/>
  <c r="AT37" i="106"/>
  <c r="AT344" i="5" s="1"/>
  <c r="AU51" i="106"/>
  <c r="AU358" i="5" s="1"/>
  <c r="AR51" i="106"/>
  <c r="AR358" i="5" s="1"/>
  <c r="AS33" i="106"/>
  <c r="AS340" i="5" s="1"/>
  <c r="AU52" i="106"/>
  <c r="AU359" i="5" s="1"/>
  <c r="AU37" i="106"/>
  <c r="AU344" i="5" s="1"/>
  <c r="AV37" i="106"/>
  <c r="AV344" i="5" s="1"/>
  <c r="AV29" i="106"/>
  <c r="AV336" i="5" s="1"/>
  <c r="AP351" i="5"/>
  <c r="AP370" i="5"/>
  <c r="AR36" i="106"/>
  <c r="AR343" i="5" s="1"/>
  <c r="AR33" i="106"/>
  <c r="AR340" i="5" s="1"/>
  <c r="AS41" i="106"/>
  <c r="AS348" i="5" s="1"/>
  <c r="AS58" i="106"/>
  <c r="AS365" i="5" s="1"/>
  <c r="AR167" i="106"/>
  <c r="AR106" i="5" s="1"/>
  <c r="AV55" i="106"/>
  <c r="AV362" i="5" s="1"/>
  <c r="AR41" i="106"/>
  <c r="AR348" i="5" s="1"/>
  <c r="AR58" i="106"/>
  <c r="AR365" i="5" s="1"/>
  <c r="AR40" i="106"/>
  <c r="AR347" i="5" s="1"/>
  <c r="AT40" i="106"/>
  <c r="AT347" i="5" s="1"/>
  <c r="AU58" i="106"/>
  <c r="AU365" i="5" s="1"/>
  <c r="AV38" i="106"/>
  <c r="AV345" i="5" s="1"/>
  <c r="AS40" i="106"/>
  <c r="AS347" i="5" s="1"/>
  <c r="AR27" i="106"/>
  <c r="AR334" i="5" s="1"/>
  <c r="AV40" i="106"/>
  <c r="AV347" i="5" s="1"/>
  <c r="AP366" i="5"/>
  <c r="AP350" i="5"/>
  <c r="AP360" i="5" l="1"/>
  <c r="AP358" i="5"/>
  <c r="AP347" i="5"/>
  <c r="AP340" i="5"/>
  <c r="AP336" i="5"/>
  <c r="AT11" i="16"/>
  <c r="AT32" i="17"/>
  <c r="AT33" i="15"/>
  <c r="AP335" i="5"/>
  <c r="AV62" i="106"/>
  <c r="AV369" i="5" s="1"/>
  <c r="AT163" i="106"/>
  <c r="AT102" i="5" s="1"/>
  <c r="AU38" i="106"/>
  <c r="AU345" i="5" s="1"/>
  <c r="AT162" i="106"/>
  <c r="AT101" i="5" s="1"/>
  <c r="AV167" i="106"/>
  <c r="AV106" i="5" s="1"/>
  <c r="AS167" i="106"/>
  <c r="AS106" i="5" s="1"/>
  <c r="AT62" i="106"/>
  <c r="AT369" i="5" s="1"/>
  <c r="AR49" i="106"/>
  <c r="AR356" i="5" s="1"/>
  <c r="AP356" i="5" s="1"/>
  <c r="AT167" i="106"/>
  <c r="AT106" i="5" s="1"/>
  <c r="AR38" i="106"/>
  <c r="AR345" i="5" s="1"/>
  <c r="AU62" i="106"/>
  <c r="AU369" i="5" s="1"/>
  <c r="AP334" i="5"/>
  <c r="AP365" i="5"/>
  <c r="AP349" i="5"/>
  <c r="AS55" i="106"/>
  <c r="AS362" i="5" s="1"/>
  <c r="AP362" i="5" s="1"/>
  <c r="AU167" i="106"/>
  <c r="AU106" i="5" s="1"/>
  <c r="AS166" i="106"/>
  <c r="AS105" i="5" s="1"/>
  <c r="AP343" i="5"/>
  <c r="AU26" i="106"/>
  <c r="AU333" i="5" s="1"/>
  <c r="AU163" i="106"/>
  <c r="AU102" i="5" s="1"/>
  <c r="AU162" i="106"/>
  <c r="AU101" i="5" s="1"/>
  <c r="AT26" i="106"/>
  <c r="AT333" i="5" s="1"/>
  <c r="AV33" i="15"/>
  <c r="AV32" i="17"/>
  <c r="AV11" i="16"/>
  <c r="AP344" i="5"/>
  <c r="AP367" i="5"/>
  <c r="AR26" i="106"/>
  <c r="AR333" i="5" s="1"/>
  <c r="AV166" i="106"/>
  <c r="AV105" i="5" s="1"/>
  <c r="AS38" i="106"/>
  <c r="AS345" i="5" s="1"/>
  <c r="AS163" i="106"/>
  <c r="AS102" i="5" s="1"/>
  <c r="AT38" i="106"/>
  <c r="AT345" i="5" s="1"/>
  <c r="AP348" i="5"/>
  <c r="AU32" i="17"/>
  <c r="AU11" i="16"/>
  <c r="AU33" i="15"/>
  <c r="AV163" i="106"/>
  <c r="AV102" i="5" s="1"/>
  <c r="AP339" i="5"/>
  <c r="AP359" i="5"/>
  <c r="AR162" i="106" l="1"/>
  <c r="AR101" i="5" s="1"/>
  <c r="AR163" i="106"/>
  <c r="AR102" i="5" s="1"/>
  <c r="AV162" i="106"/>
  <c r="AV101" i="5" s="1"/>
  <c r="AP345" i="5"/>
  <c r="AR164" i="106"/>
  <c r="AR103" i="5" s="1"/>
  <c r="AP333" i="5"/>
  <c r="AS162" i="106"/>
  <c r="AS101" i="5" s="1"/>
  <c r="AR111" i="5" l="1"/>
  <c r="AR16" i="16" s="1"/>
  <c r="AR24" i="125" l="1"/>
  <c r="AS164" i="106"/>
  <c r="AS103" i="5" s="1"/>
  <c r="AV165" i="106" l="1"/>
  <c r="AV104" i="5" s="1"/>
  <c r="AU165" i="106"/>
  <c r="AU104" i="5" s="1"/>
  <c r="AT165" i="106"/>
  <c r="AT104" i="5" s="1"/>
  <c r="AU169" i="106" l="1"/>
  <c r="AU108" i="5" s="1"/>
  <c r="AT169" i="106"/>
  <c r="AT108" i="5" s="1"/>
  <c r="AV169" i="106"/>
  <c r="AV108" i="5" s="1"/>
  <c r="AT164" i="106" l="1"/>
  <c r="AT103" i="5" s="1"/>
  <c r="AT111" i="5" s="1"/>
  <c r="AT16" i="16" s="1"/>
  <c r="AS169" i="106"/>
  <c r="AS108" i="5" s="1"/>
  <c r="AS111" i="5" s="1"/>
  <c r="AS16" i="16" s="1"/>
  <c r="AS24" i="125" l="1"/>
  <c r="AT24" i="125"/>
  <c r="AU164" i="106"/>
  <c r="AU103" i="5" s="1"/>
  <c r="AU111" i="5" s="1"/>
  <c r="AU16" i="16" s="1"/>
  <c r="AV164" i="106"/>
  <c r="AV103" i="5" s="1"/>
  <c r="AV111" i="5" s="1"/>
  <c r="AV16" i="16" s="1"/>
  <c r="AV24" i="125" l="1"/>
  <c r="AU24" i="125"/>
  <c r="AT35" i="106"/>
  <c r="AT342" i="5" s="1"/>
  <c r="AV34" i="106" l="1"/>
  <c r="AV341" i="5" s="1"/>
  <c r="AU35" i="106"/>
  <c r="AU342" i="5" s="1"/>
  <c r="AV35" i="106"/>
  <c r="AV342" i="5" s="1"/>
  <c r="AT54" i="106" l="1"/>
  <c r="AT361" i="5" s="1"/>
  <c r="AV54" i="106"/>
  <c r="AV361" i="5" s="1"/>
  <c r="AT34" i="106"/>
  <c r="AT341" i="5" s="1"/>
  <c r="AU34" i="106"/>
  <c r="AU341" i="5" s="1"/>
  <c r="AT138" i="106" l="1"/>
  <c r="AT75" i="5" s="1"/>
  <c r="AT139" i="106"/>
  <c r="AT76" i="5" s="1"/>
  <c r="AT137" i="106"/>
  <c r="AT74" i="5" s="1"/>
  <c r="AU54" i="106"/>
  <c r="AU361" i="5" s="1"/>
  <c r="AT141" i="106"/>
  <c r="AT78" i="5" s="1"/>
  <c r="AT136" i="106"/>
  <c r="AT73" i="5" s="1"/>
  <c r="AT140" i="106"/>
  <c r="AT77" i="5" s="1"/>
  <c r="AT128" i="106" l="1"/>
  <c r="AT63" i="5" s="1"/>
  <c r="AT130" i="106"/>
  <c r="AT65" i="5" s="1"/>
  <c r="AT135" i="106"/>
  <c r="AT72" i="5" s="1"/>
  <c r="AU140" i="106"/>
  <c r="AU77" i="5" s="1"/>
  <c r="AT127" i="106"/>
  <c r="AT62" i="5" s="1"/>
  <c r="AT131" i="106"/>
  <c r="AT66" i="5" s="1"/>
  <c r="AU137" i="106"/>
  <c r="AU74" i="5" s="1"/>
  <c r="AT129" i="106"/>
  <c r="AT64" i="5" s="1"/>
  <c r="AU141" i="106"/>
  <c r="AU78" i="5" s="1"/>
  <c r="AU136" i="106"/>
  <c r="AU73" i="5" s="1"/>
  <c r="AT132" i="106"/>
  <c r="AT67" i="5" s="1"/>
  <c r="AU139" i="106"/>
  <c r="AU76" i="5" s="1"/>
  <c r="AU138" i="106"/>
  <c r="AU75" i="5" s="1"/>
  <c r="AU127" i="106" l="1"/>
  <c r="AU62" i="5" s="1"/>
  <c r="AU130" i="106"/>
  <c r="AU65" i="5" s="1"/>
  <c r="AT126" i="106"/>
  <c r="AT61" i="5" s="1"/>
  <c r="AU128" i="106"/>
  <c r="AU63" i="5" s="1"/>
  <c r="AT62" i="2"/>
  <c r="AT79" i="5"/>
  <c r="AU131" i="106"/>
  <c r="AU66" i="5" s="1"/>
  <c r="AU129" i="106"/>
  <c r="AU64" i="5" s="1"/>
  <c r="AU132" i="106"/>
  <c r="AU67" i="5" s="1"/>
  <c r="AU135" i="106"/>
  <c r="AU72" i="5" s="1"/>
  <c r="AT68" i="5" l="1"/>
  <c r="AT49" i="2"/>
  <c r="AU126" i="106"/>
  <c r="AU61" i="5" s="1"/>
  <c r="AU62" i="2"/>
  <c r="AU79" i="5"/>
  <c r="AU49" i="2" l="1"/>
  <c r="AU68" i="5"/>
  <c r="AV136" i="106" l="1"/>
  <c r="AV73" i="5" s="1"/>
  <c r="AV141" i="106"/>
  <c r="AV78" i="5" s="1"/>
  <c r="AV138" i="106"/>
  <c r="AV75" i="5" s="1"/>
  <c r="AV140" i="106"/>
  <c r="AV77" i="5" s="1"/>
  <c r="AV137" i="106"/>
  <c r="AV74" i="5" s="1"/>
  <c r="AV139" i="106"/>
  <c r="AV76" i="5" s="1"/>
  <c r="AV132" i="106" l="1"/>
  <c r="AV67" i="5" s="1"/>
  <c r="AV130" i="106"/>
  <c r="AV65" i="5" s="1"/>
  <c r="AV129" i="106"/>
  <c r="AV64" i="5" s="1"/>
  <c r="AV131" i="106"/>
  <c r="AV66" i="5" s="1"/>
  <c r="AV135" i="106"/>
  <c r="AV72" i="5" s="1"/>
  <c r="AV127" i="106"/>
  <c r="AV62" i="5" s="1"/>
  <c r="AV128" i="106"/>
  <c r="AV63" i="5" s="1"/>
  <c r="AV62" i="2" l="1"/>
  <c r="AV79" i="5"/>
  <c r="AV126" i="106"/>
  <c r="AV61" i="5" s="1"/>
  <c r="AV49" i="2" l="1"/>
  <c r="AV68" i="5"/>
  <c r="AR150" i="106" l="1"/>
  <c r="AR88" i="5" s="1"/>
  <c r="AR147" i="106"/>
  <c r="AR85" i="5" s="1"/>
  <c r="AR146" i="106"/>
  <c r="AR84" i="5" s="1"/>
  <c r="AR148" i="106"/>
  <c r="AR86" i="5" s="1"/>
  <c r="AR151" i="106"/>
  <c r="AR89" i="5" s="1"/>
  <c r="AR154" i="106"/>
  <c r="AR92" i="5" s="1"/>
  <c r="AR152" i="106"/>
  <c r="AR90" i="5" s="1"/>
  <c r="AR149" i="106"/>
  <c r="AR87" i="5" s="1"/>
  <c r="AS152" i="106" l="1"/>
  <c r="AS90" i="5" s="1"/>
  <c r="AS148" i="106"/>
  <c r="AS86" i="5" s="1"/>
  <c r="AS151" i="106"/>
  <c r="AS89" i="5" s="1"/>
  <c r="AS147" i="106"/>
  <c r="AS85" i="5" s="1"/>
  <c r="AS149" i="106"/>
  <c r="AS87" i="5" s="1"/>
  <c r="AR145" i="106"/>
  <c r="AR83" i="5" s="1"/>
  <c r="AS146" i="106"/>
  <c r="AS84" i="5" s="1"/>
  <c r="AS150" i="106"/>
  <c r="AS88" i="5" s="1"/>
  <c r="AR155" i="106"/>
  <c r="AR93" i="5" s="1"/>
  <c r="AS154" i="106"/>
  <c r="AS92" i="5" s="1"/>
  <c r="AT50" i="106" l="1"/>
  <c r="AT357" i="5" s="1"/>
  <c r="AR97" i="5"/>
  <c r="AR50" i="106"/>
  <c r="AR357" i="5" s="1"/>
  <c r="AR62" i="106"/>
  <c r="AR369" i="5" s="1"/>
  <c r="AS145" i="106"/>
  <c r="AS83" i="5" s="1"/>
  <c r="AS155" i="106"/>
  <c r="AS93" i="5" s="1"/>
  <c r="AR39" i="106"/>
  <c r="AR346" i="5" s="1"/>
  <c r="AS140" i="106" l="1"/>
  <c r="AS77" i="5" s="1"/>
  <c r="AU50" i="106"/>
  <c r="AU357" i="5" s="1"/>
  <c r="AS62" i="106"/>
  <c r="AS369" i="5" s="1"/>
  <c r="AP369" i="5" s="1"/>
  <c r="AU39" i="106"/>
  <c r="AU346" i="5" s="1"/>
  <c r="AS50" i="106"/>
  <c r="AS357" i="5" s="1"/>
  <c r="AR32" i="17"/>
  <c r="AR33" i="15"/>
  <c r="AR11" i="16"/>
  <c r="AS97" i="5"/>
  <c r="AS39" i="106"/>
  <c r="AS346" i="5" s="1"/>
  <c r="AV50" i="106"/>
  <c r="AV357" i="5" s="1"/>
  <c r="AS139" i="106"/>
  <c r="AS76" i="5" s="1"/>
  <c r="AP357" i="5" l="1"/>
  <c r="AV39" i="106"/>
  <c r="AV346" i="5" s="1"/>
  <c r="AS127" i="106"/>
  <c r="AS62" i="5" s="1"/>
  <c r="AS137" i="106"/>
  <c r="AS74" i="5" s="1"/>
  <c r="AS33" i="15"/>
  <c r="AS11" i="16"/>
  <c r="AS32" i="17"/>
  <c r="AT39" i="106"/>
  <c r="AT346" i="5" s="1"/>
  <c r="AS141" i="106"/>
  <c r="AS78" i="5" s="1"/>
  <c r="AS136" i="106"/>
  <c r="AS73" i="5" s="1"/>
  <c r="AS138" i="106"/>
  <c r="AS75" i="5" s="1"/>
  <c r="AS130" i="106"/>
  <c r="AS65" i="5" s="1"/>
  <c r="AS129" i="106"/>
  <c r="AS64" i="5" s="1"/>
  <c r="AP346" i="5" l="1"/>
  <c r="AS132" i="106"/>
  <c r="AS67" i="5" s="1"/>
  <c r="AS135" i="106"/>
  <c r="AS72" i="5" s="1"/>
  <c r="AS128" i="106"/>
  <c r="AS63" i="5" s="1"/>
  <c r="AS131" i="106"/>
  <c r="AS66" i="5" s="1"/>
  <c r="AS126" i="106" l="1"/>
  <c r="AS61" i="5" s="1"/>
  <c r="AS79" i="5"/>
  <c r="AS62" i="2"/>
  <c r="AS68" i="5" l="1"/>
  <c r="AS49" i="2"/>
  <c r="AR61" i="106" l="1"/>
  <c r="AR368" i="5" s="1"/>
  <c r="AR140" i="106" l="1"/>
  <c r="AR77" i="5" s="1"/>
  <c r="AR137" i="106"/>
  <c r="AR74" i="5" s="1"/>
  <c r="AR141" i="106"/>
  <c r="AR78" i="5" s="1"/>
  <c r="AR139" i="106"/>
  <c r="AR76" i="5" s="1"/>
  <c r="AS61" i="106"/>
  <c r="AS368" i="5" s="1"/>
  <c r="AR136" i="106"/>
  <c r="AR73" i="5" s="1"/>
  <c r="AR138" i="106"/>
  <c r="AR75" i="5" s="1"/>
  <c r="AR131" i="106" l="1"/>
  <c r="AR66" i="5" s="1"/>
  <c r="AR127" i="106"/>
  <c r="AR62" i="5" s="1"/>
  <c r="AR130" i="106"/>
  <c r="AR65" i="5" s="1"/>
  <c r="AR135" i="106"/>
  <c r="AR72" i="5" s="1"/>
  <c r="AR132" i="106"/>
  <c r="AR67" i="5" s="1"/>
  <c r="AR128" i="106"/>
  <c r="AR63" i="5" s="1"/>
  <c r="AR129" i="106"/>
  <c r="AR64" i="5" s="1"/>
  <c r="AR62" i="2" l="1"/>
  <c r="AR79" i="5"/>
  <c r="AT61" i="106"/>
  <c r="AT368" i="5" s="1"/>
  <c r="AT24" i="117" a="1"/>
  <c r="AT24" i="117" s="1"/>
  <c r="AT24" i="106" s="1"/>
  <c r="AT331" i="5" s="1"/>
  <c r="AT25" i="117" a="1"/>
  <c r="AT25" i="117" s="1"/>
  <c r="AT25" i="106" s="1"/>
  <c r="AT332" i="5" s="1"/>
  <c r="AT379" i="5" l="1"/>
  <c r="AU61" i="106"/>
  <c r="AU368" i="5" s="1"/>
  <c r="AU25" i="117" a="1"/>
  <c r="AU25" i="117" s="1"/>
  <c r="AU25" i="106" s="1"/>
  <c r="AU332" i="5" s="1"/>
  <c r="AU24" i="117" a="1"/>
  <c r="AU24" i="117" s="1"/>
  <c r="AU24" i="106" s="1"/>
  <c r="AU331" i="5" s="1"/>
  <c r="AU379" i="5" l="1"/>
  <c r="AV61" i="106"/>
  <c r="AV368" i="5" s="1"/>
  <c r="AP368" i="5" s="1"/>
  <c r="AV25" i="117" a="1"/>
  <c r="AV25" i="117" s="1"/>
  <c r="AV25" i="106" s="1"/>
  <c r="AV332" i="5" s="1"/>
  <c r="AV24" i="117" a="1"/>
  <c r="AV24" i="117" s="1"/>
  <c r="AV24" i="106" s="1"/>
  <c r="AV331" i="5" s="1"/>
  <c r="AV379" i="5" l="1"/>
  <c r="AS35" i="106" l="1"/>
  <c r="AS342" i="5" s="1"/>
  <c r="AR35" i="106"/>
  <c r="AR342" i="5" s="1"/>
  <c r="AP342" i="5" s="1"/>
  <c r="AR126" i="106" l="1"/>
  <c r="AR61" i="5" s="1"/>
  <c r="AR54" i="106"/>
  <c r="AR361" i="5" s="1"/>
  <c r="AR34" i="106"/>
  <c r="AR341" i="5" s="1"/>
  <c r="AR24" i="117" a="1"/>
  <c r="AR24" i="117" s="1"/>
  <c r="AR24" i="106" s="1"/>
  <c r="AR331" i="5" s="1"/>
  <c r="AR25" i="117" a="1"/>
  <c r="AR25" i="117" s="1"/>
  <c r="AR25" i="106" s="1"/>
  <c r="AR332" i="5" s="1"/>
  <c r="AS34" i="106"/>
  <c r="AS341" i="5" s="1"/>
  <c r="AR379" i="5" l="1"/>
  <c r="AR49" i="2"/>
  <c r="AR68" i="5"/>
  <c r="AP341" i="5"/>
  <c r="AQ74" i="117" a="1"/>
  <c r="AQ74" i="117" s="1"/>
  <c r="AQ74" i="106" s="1"/>
  <c r="AQ384" i="5" s="1"/>
  <c r="AR74" i="117" a="1"/>
  <c r="AR74" i="117" s="1"/>
  <c r="AR74" i="106" s="1"/>
  <c r="AR384" i="5" s="1"/>
  <c r="AS75" i="117" a="1"/>
  <c r="AS75" i="117" s="1"/>
  <c r="AS75" i="106" s="1"/>
  <c r="AS385" i="5" s="1"/>
  <c r="AS54" i="106" l="1"/>
  <c r="AS361" i="5" s="1"/>
  <c r="AP361" i="5" s="1"/>
  <c r="AS24" i="117" a="1"/>
  <c r="AS24" i="117" s="1"/>
  <c r="AS24" i="106" s="1"/>
  <c r="AS331" i="5" s="1"/>
  <c r="AP74" i="117" a="1"/>
  <c r="AP74" i="117" s="1"/>
  <c r="AP74" i="106" s="1"/>
  <c r="AP384" i="5" s="1"/>
  <c r="AU74" i="117" a="1"/>
  <c r="AU74" i="117" s="1"/>
  <c r="AU74" i="106" s="1"/>
  <c r="AU384" i="5" s="1"/>
  <c r="AT75" i="117" a="1"/>
  <c r="AT75" i="117" s="1"/>
  <c r="AT75" i="106" s="1"/>
  <c r="AT385" i="5" s="1"/>
  <c r="AS25" i="117" a="1"/>
  <c r="AS25" i="117" s="1"/>
  <c r="AS25" i="106" s="1"/>
  <c r="AS332" i="5" s="1"/>
  <c r="AP332" i="5" s="1"/>
  <c r="AO75" i="117" a="1"/>
  <c r="AO75" i="117" s="1"/>
  <c r="AU75" i="117" a="1"/>
  <c r="AU75" i="117" s="1"/>
  <c r="AU75" i="106" s="1"/>
  <c r="AU385" i="5" s="1"/>
  <c r="AS74" i="117" a="1"/>
  <c r="AS74" i="117" s="1"/>
  <c r="AS74" i="106" s="1"/>
  <c r="AS384" i="5" s="1"/>
  <c r="AT316" i="5" s="1" a="1"/>
  <c r="AT316" i="5" s="1"/>
  <c r="AT74" i="117" a="1"/>
  <c r="AT74" i="117" s="1"/>
  <c r="AT74" i="106" s="1"/>
  <c r="AT384" i="5" s="1"/>
  <c r="AP75" i="117" a="1"/>
  <c r="AP75" i="117" s="1"/>
  <c r="AP75" i="106" s="1"/>
  <c r="AP385" i="5" s="1"/>
  <c r="AR75" i="117" a="1"/>
  <c r="AR75" i="117" s="1"/>
  <c r="AR75" i="106" s="1"/>
  <c r="AR385" i="5" s="1"/>
  <c r="AR315" i="5" s="1" a="1"/>
  <c r="AR315" i="5" s="1"/>
  <c r="AO74" i="117" a="1"/>
  <c r="AO74" i="117" s="1"/>
  <c r="AQ75" i="117" a="1"/>
  <c r="AQ75" i="117" s="1"/>
  <c r="AQ75" i="106" s="1"/>
  <c r="AQ385" i="5" s="1"/>
  <c r="AR314" i="5" s="1" a="1"/>
  <c r="AR314" i="5" s="1"/>
  <c r="AR324" i="5" l="1" a="1"/>
  <c r="AR324" i="5" s="1"/>
  <c r="AR54" i="5" s="1"/>
  <c r="AR26" i="2" s="1"/>
  <c r="AR67" i="2" s="1"/>
  <c r="AU314" i="5" a="1"/>
  <c r="AU314" i="5" s="1"/>
  <c r="AT314" i="5" a="1"/>
  <c r="AT314" i="5" s="1"/>
  <c r="AV315" i="5" a="1"/>
  <c r="AV315" i="5" s="1"/>
  <c r="AV44" i="5" s="1"/>
  <c r="AV15" i="2" s="1"/>
  <c r="AU324" i="5" a="1"/>
  <c r="AU324" i="5" s="1"/>
  <c r="AU54" i="5" s="1"/>
  <c r="AU26" i="2" s="1"/>
  <c r="AU67" i="2" s="1"/>
  <c r="AV314" i="5" a="1"/>
  <c r="AV314" i="5" s="1"/>
  <c r="AV43" i="5" s="1"/>
  <c r="AV14" i="2" s="1"/>
  <c r="AV323" i="5" a="1"/>
  <c r="AV323" i="5" s="1"/>
  <c r="AV53" i="5" s="1"/>
  <c r="AV25" i="2" s="1"/>
  <c r="AV66" i="2" s="1"/>
  <c r="AT323" i="5" a="1"/>
  <c r="AT323" i="5" s="1"/>
  <c r="AT53" i="5" s="1"/>
  <c r="AT25" i="2" s="1"/>
  <c r="AT66" i="2" s="1"/>
  <c r="AR43" i="5"/>
  <c r="AR14" i="2" s="1"/>
  <c r="AR44" i="5"/>
  <c r="AR15" i="2" s="1"/>
  <c r="AS313" i="5" a="1"/>
  <c r="AS313" i="5" s="1"/>
  <c r="AS324" i="5" a="1"/>
  <c r="AS324" i="5" s="1"/>
  <c r="AS54" i="5" s="1"/>
  <c r="AS26" i="2" s="1"/>
  <c r="AS67" i="2" s="1"/>
  <c r="AS315" i="5" a="1"/>
  <c r="AS315" i="5" s="1"/>
  <c r="AS379" i="5"/>
  <c r="AS318" i="5" a="1"/>
  <c r="AS318" i="5" s="1"/>
  <c r="AS316" i="5" a="1"/>
  <c r="AS316" i="5" s="1"/>
  <c r="AS325" i="5" a="1"/>
  <c r="AS325" i="5" s="1"/>
  <c r="AS55" i="5" s="1"/>
  <c r="AS27" i="2" s="1"/>
  <c r="AS68" i="2" s="1"/>
  <c r="AS323" i="5" a="1"/>
  <c r="AS323" i="5" s="1"/>
  <c r="AS53" i="5" s="1"/>
  <c r="AS25" i="2" s="1"/>
  <c r="AS66" i="2" s="1"/>
  <c r="AS317" i="5" a="1"/>
  <c r="AS317" i="5" s="1"/>
  <c r="AS314" i="5" a="1"/>
  <c r="AS314" i="5" s="1"/>
  <c r="AS326" i="5" a="1"/>
  <c r="AS326" i="5" s="1"/>
  <c r="AS56" i="5" s="1"/>
  <c r="AS28" i="2" s="1"/>
  <c r="AS69" i="2" s="1"/>
  <c r="AS327" i="5" a="1"/>
  <c r="AS327" i="5" s="1"/>
  <c r="AS57" i="5" s="1"/>
  <c r="AS29" i="2" s="1"/>
  <c r="AS70" i="2" s="1"/>
  <c r="AS322" i="5" a="1"/>
  <c r="AS322" i="5" s="1"/>
  <c r="AS52" i="5" s="1"/>
  <c r="AS24" i="2" s="1"/>
  <c r="AS65" i="2" s="1"/>
  <c r="AP331" i="5"/>
  <c r="AU323" i="5" a="1"/>
  <c r="AU323" i="5" s="1"/>
  <c r="AU53" i="5" s="1"/>
  <c r="AU25" i="2" s="1"/>
  <c r="AU66" i="2" s="1"/>
  <c r="AV324" i="5" a="1"/>
  <c r="AV324" i="5" s="1"/>
  <c r="AV54" i="5" s="1"/>
  <c r="AV26" i="2" s="1"/>
  <c r="AV67" i="2" s="1"/>
  <c r="AU315" i="5" a="1"/>
  <c r="AU315" i="5" s="1"/>
  <c r="AT45" i="5"/>
  <c r="AT16" i="2" s="1"/>
  <c r="AU43" i="5"/>
  <c r="AU14" i="2" s="1"/>
  <c r="AT326" i="5" a="1"/>
  <c r="AT326" i="5" s="1"/>
  <c r="AT56" i="5" s="1"/>
  <c r="AT28" i="2" s="1"/>
  <c r="AT69" i="2" s="1"/>
  <c r="AT317" i="5" a="1"/>
  <c r="AT317" i="5" s="1"/>
  <c r="AU326" i="5" a="1"/>
  <c r="AU326" i="5" s="1"/>
  <c r="AU56" i="5" s="1"/>
  <c r="AU28" i="2" s="1"/>
  <c r="AU69" i="2" s="1"/>
  <c r="AU317" i="5" a="1"/>
  <c r="AU317" i="5" s="1"/>
  <c r="AV326" i="5" a="1"/>
  <c r="AV326" i="5" s="1"/>
  <c r="AV56" i="5" s="1"/>
  <c r="AV28" i="2" s="1"/>
  <c r="AV69" i="2" s="1"/>
  <c r="AV317" i="5" a="1"/>
  <c r="AV317" i="5" s="1"/>
  <c r="AR317" i="5" a="1"/>
  <c r="AR317" i="5" s="1"/>
  <c r="AR326" i="5" a="1"/>
  <c r="AR326" i="5" s="1"/>
  <c r="AR56" i="5" s="1"/>
  <c r="AR28" i="2" s="1"/>
  <c r="AR69" i="2" s="1"/>
  <c r="AO74" i="106"/>
  <c r="AO384" i="5" s="1"/>
  <c r="AV74" i="117"/>
  <c r="AT325" i="5" a="1"/>
  <c r="AT325" i="5" s="1"/>
  <c r="AT55" i="5" s="1"/>
  <c r="AT27" i="2" s="1"/>
  <c r="AT68" i="2" s="1"/>
  <c r="AU325" i="5" a="1"/>
  <c r="AU325" i="5" s="1"/>
  <c r="AU55" i="5" s="1"/>
  <c r="AU27" i="2" s="1"/>
  <c r="AU68" i="2" s="1"/>
  <c r="AU316" i="5" a="1"/>
  <c r="AU316" i="5" s="1"/>
  <c r="AV316" i="5" a="1"/>
  <c r="AV316" i="5" s="1"/>
  <c r="AV325" i="5" a="1"/>
  <c r="AV325" i="5" s="1"/>
  <c r="AV55" i="5" s="1"/>
  <c r="AV27" i="2" s="1"/>
  <c r="AV68" i="2" s="1"/>
  <c r="AR316" i="5" a="1"/>
  <c r="AR316" i="5" s="1"/>
  <c r="AR325" i="5" a="1"/>
  <c r="AR325" i="5" s="1"/>
  <c r="AR55" i="5" s="1"/>
  <c r="AR27" i="2" s="1"/>
  <c r="AR68" i="2" s="1"/>
  <c r="AT315" i="5" a="1"/>
  <c r="AT315" i="5" s="1"/>
  <c r="AT324" i="5" a="1"/>
  <c r="AT324" i="5" s="1"/>
  <c r="AT54" i="5" s="1"/>
  <c r="AT26" i="2" s="1"/>
  <c r="AT67" i="2" s="1"/>
  <c r="AT43" i="5"/>
  <c r="AT14" i="2" s="1"/>
  <c r="AO75" i="106"/>
  <c r="AO385" i="5" s="1"/>
  <c r="AO332" i="5" s="1"/>
  <c r="AV75" i="117"/>
  <c r="AT318" i="5" a="1"/>
  <c r="AT318" i="5" s="1"/>
  <c r="AT327" i="5" a="1"/>
  <c r="AT327" i="5" s="1"/>
  <c r="AT57" i="5" s="1"/>
  <c r="AT29" i="2" s="1"/>
  <c r="AT70" i="2" s="1"/>
  <c r="AU318" i="5" a="1"/>
  <c r="AU318" i="5" s="1"/>
  <c r="AU327" i="5" a="1"/>
  <c r="AU327" i="5" s="1"/>
  <c r="AU57" i="5" s="1"/>
  <c r="AU29" i="2" s="1"/>
  <c r="AU70" i="2" s="1"/>
  <c r="AV327" i="5" a="1"/>
  <c r="AV327" i="5" s="1"/>
  <c r="AV57" i="5" s="1"/>
  <c r="AV29" i="2" s="1"/>
  <c r="AV70" i="2" s="1"/>
  <c r="AV318" i="5" a="1"/>
  <c r="AV318" i="5" s="1"/>
  <c r="AR327" i="5" a="1"/>
  <c r="AR327" i="5" s="1"/>
  <c r="AR57" i="5" s="1"/>
  <c r="AR29" i="2" s="1"/>
  <c r="AR70" i="2" s="1"/>
  <c r="AR318" i="5" a="1"/>
  <c r="AR318" i="5" s="1"/>
  <c r="AR323" i="5" a="1"/>
  <c r="AR323" i="5" s="1"/>
  <c r="AR53" i="5" s="1"/>
  <c r="AR25" i="2" s="1"/>
  <c r="AR66" i="2" s="1"/>
  <c r="AT322" i="5" a="1"/>
  <c r="AT322" i="5" s="1"/>
  <c r="AT52" i="5" s="1"/>
  <c r="AT24" i="2" s="1"/>
  <c r="AT65" i="2" s="1"/>
  <c r="AT313" i="5" a="1"/>
  <c r="AT313" i="5" s="1"/>
  <c r="AU313" i="5" a="1"/>
  <c r="AU313" i="5" s="1"/>
  <c r="AU322" i="5" a="1"/>
  <c r="AU322" i="5" s="1"/>
  <c r="AU52" i="5" s="1"/>
  <c r="AU24" i="2" s="1"/>
  <c r="AU65" i="2" s="1"/>
  <c r="AV322" i="5" a="1"/>
  <c r="AV322" i="5" s="1"/>
  <c r="AV52" i="5" s="1"/>
  <c r="AV24" i="2" s="1"/>
  <c r="AV65" i="2" s="1"/>
  <c r="AV313" i="5" a="1"/>
  <c r="AV313" i="5" s="1"/>
  <c r="AR322" i="5" a="1"/>
  <c r="AR322" i="5" s="1"/>
  <c r="AR52" i="5" s="1"/>
  <c r="AR24" i="2" s="1"/>
  <c r="AR65" i="2" s="1"/>
  <c r="AR313" i="5" a="1"/>
  <c r="AR313" i="5" s="1"/>
  <c r="AS312" i="5" l="1" a="1"/>
  <c r="AS312" i="5" s="1"/>
  <c r="AR297" i="5"/>
  <c r="AU296" i="5"/>
  <c r="AV297" i="5"/>
  <c r="AT296" i="5"/>
  <c r="AT298" i="5"/>
  <c r="AV296" i="5"/>
  <c r="AS41" i="5"/>
  <c r="AS12" i="2" s="1"/>
  <c r="AS296" i="5"/>
  <c r="AS43" i="5"/>
  <c r="AS14" i="2" s="1"/>
  <c r="AT47" i="5"/>
  <c r="AT18" i="2" s="1"/>
  <c r="AT300" i="5"/>
  <c r="AT297" i="5"/>
  <c r="AT44" i="5"/>
  <c r="AT15" i="2" s="1"/>
  <c r="AT46" i="5"/>
  <c r="AT17" i="2" s="1"/>
  <c r="AT299" i="5"/>
  <c r="AS46" i="5"/>
  <c r="AS17" i="2" s="1"/>
  <c r="AS299" i="5"/>
  <c r="AU46" i="5"/>
  <c r="AU17" i="2" s="1"/>
  <c r="AU299" i="5"/>
  <c r="AU300" i="5"/>
  <c r="AU47" i="5"/>
  <c r="AU18" i="2" s="1"/>
  <c r="AR298" i="5"/>
  <c r="AR45" i="5"/>
  <c r="AR16" i="2" s="1"/>
  <c r="AS321" i="5" a="1"/>
  <c r="AS321" i="5" s="1"/>
  <c r="AS51" i="5" s="1"/>
  <c r="AS23" i="2" s="1"/>
  <c r="AR42" i="5"/>
  <c r="AR13" i="2" s="1"/>
  <c r="AR295" i="5"/>
  <c r="AV36" i="2"/>
  <c r="AV53" i="2"/>
  <c r="AV77" i="2" s="1"/>
  <c r="AV24" i="15" s="1"/>
  <c r="AV37" i="2"/>
  <c r="AV54" i="2"/>
  <c r="AV78" i="2" s="1"/>
  <c r="AV25" i="15" s="1"/>
  <c r="AV298" i="5"/>
  <c r="AV45" i="5"/>
  <c r="AV16" i="2" s="1"/>
  <c r="AR47" i="5"/>
  <c r="AR18" i="2" s="1"/>
  <c r="AR300" i="5"/>
  <c r="AU45" i="5"/>
  <c r="AU16" i="2" s="1"/>
  <c r="AU298" i="5"/>
  <c r="AU36" i="2"/>
  <c r="AU53" i="2"/>
  <c r="AU77" i="2" s="1"/>
  <c r="AU24" i="15" s="1"/>
  <c r="AS45" i="5"/>
  <c r="AS16" i="2" s="1"/>
  <c r="AS298" i="5"/>
  <c r="AR37" i="2"/>
  <c r="AR54" i="2"/>
  <c r="AR78" i="2" s="1"/>
  <c r="AR25" i="15" s="1"/>
  <c r="AS295" i="5"/>
  <c r="AS42" i="5"/>
  <c r="AS13" i="2" s="1"/>
  <c r="AO331" i="5"/>
  <c r="AP380" i="5" s="1"/>
  <c r="AV14" i="86" s="1"/>
  <c r="I14" i="86" s="1"/>
  <c r="AT312" i="5" a="1"/>
  <c r="AT312" i="5" s="1"/>
  <c r="AT321" i="5" a="1"/>
  <c r="AT321" i="5" s="1"/>
  <c r="AT51" i="5" s="1"/>
  <c r="AT23" i="2" s="1"/>
  <c r="AU321" i="5" a="1"/>
  <c r="AU321" i="5" s="1"/>
  <c r="AU51" i="5" s="1"/>
  <c r="AU23" i="2" s="1"/>
  <c r="AU312" i="5" a="1"/>
  <c r="AU312" i="5" s="1"/>
  <c r="AV321" i="5" a="1"/>
  <c r="AV321" i="5" s="1"/>
  <c r="AV51" i="5" s="1"/>
  <c r="AV23" i="2" s="1"/>
  <c r="AV312" i="5" a="1"/>
  <c r="AV312" i="5" s="1"/>
  <c r="AR321" i="5" a="1"/>
  <c r="AR321" i="5" s="1"/>
  <c r="AR51" i="5" s="1"/>
  <c r="AR23" i="2" s="1"/>
  <c r="AR312" i="5" a="1"/>
  <c r="AR312" i="5" s="1"/>
  <c r="AS300" i="5"/>
  <c r="AS47" i="5"/>
  <c r="AS18" i="2" s="1"/>
  <c r="AV47" i="5"/>
  <c r="AV18" i="2" s="1"/>
  <c r="AV300" i="5"/>
  <c r="AT36" i="2"/>
  <c r="AT53" i="2"/>
  <c r="AT77" i="2" s="1"/>
  <c r="AT24" i="15" s="1"/>
  <c r="AR299" i="5"/>
  <c r="AR46" i="5"/>
  <c r="AR17" i="2" s="1"/>
  <c r="AT38" i="2"/>
  <c r="AT55" i="2"/>
  <c r="AT79" i="2" s="1"/>
  <c r="AT26" i="15" s="1"/>
  <c r="AV295" i="5"/>
  <c r="AV42" i="5"/>
  <c r="AV13" i="2" s="1"/>
  <c r="AU42" i="5"/>
  <c r="AU13" i="2" s="1"/>
  <c r="AU295" i="5"/>
  <c r="AV299" i="5"/>
  <c r="AV46" i="5"/>
  <c r="AV17" i="2" s="1"/>
  <c r="AU44" i="5"/>
  <c r="AU15" i="2" s="1"/>
  <c r="AU297" i="5"/>
  <c r="AS44" i="5"/>
  <c r="AS15" i="2" s="1"/>
  <c r="AS297" i="5"/>
  <c r="AR36" i="2"/>
  <c r="AR53" i="2"/>
  <c r="AR77" i="2" s="1"/>
  <c r="AR24" i="15" s="1"/>
  <c r="AT295" i="5"/>
  <c r="AT42" i="5"/>
  <c r="AT13" i="2" s="1"/>
  <c r="AR296" i="5"/>
  <c r="AV39" i="2" l="1"/>
  <c r="AV56" i="2"/>
  <c r="AV80" i="2" s="1"/>
  <c r="AV27" i="15" s="1"/>
  <c r="AS35" i="2"/>
  <c r="AS52" i="2"/>
  <c r="AS76" i="2" s="1"/>
  <c r="AS23" i="15" s="1"/>
  <c r="AR40" i="2"/>
  <c r="AR57" i="2"/>
  <c r="AR81" i="2" s="1"/>
  <c r="AR28" i="15" s="1"/>
  <c r="AU39" i="2"/>
  <c r="AU56" i="2"/>
  <c r="AU80" i="2" s="1"/>
  <c r="AU27" i="15" s="1"/>
  <c r="AR39" i="2"/>
  <c r="AR56" i="2"/>
  <c r="AR80" i="2" s="1"/>
  <c r="AR27" i="15" s="1"/>
  <c r="AT35" i="2"/>
  <c r="AT52" i="2"/>
  <c r="AT76" i="2" s="1"/>
  <c r="AT23" i="15" s="1"/>
  <c r="AS37" i="2"/>
  <c r="AS54" i="2"/>
  <c r="AS78" i="2" s="1"/>
  <c r="AS25" i="15" s="1"/>
  <c r="AS39" i="2"/>
  <c r="AS56" i="2"/>
  <c r="AS80" i="2" s="1"/>
  <c r="AS27" i="15" s="1"/>
  <c r="AT40" i="2"/>
  <c r="AT57" i="2"/>
  <c r="AT81" i="2" s="1"/>
  <c r="AT28" i="15" s="1"/>
  <c r="AV41" i="5"/>
  <c r="AV12" i="2" s="1"/>
  <c r="AV294" i="5"/>
  <c r="AU38" i="2"/>
  <c r="AU55" i="2"/>
  <c r="AU79" i="2" s="1"/>
  <c r="AU26" i="15" s="1"/>
  <c r="AR35" i="2"/>
  <c r="AR52" i="2"/>
  <c r="AR76" i="2" s="1"/>
  <c r="AR23" i="15" s="1"/>
  <c r="AR38" i="2"/>
  <c r="AR55" i="2"/>
  <c r="AR79" i="2" s="1"/>
  <c r="AR26" i="15" s="1"/>
  <c r="AS36" i="2"/>
  <c r="AS53" i="2"/>
  <c r="AS77" i="2" s="1"/>
  <c r="AS24" i="15" s="1"/>
  <c r="AR30" i="2"/>
  <c r="AR27" i="6" s="1"/>
  <c r="AR44" i="6" s="1"/>
  <c r="AR64" i="2"/>
  <c r="AR71" i="2" s="1"/>
  <c r="AR26" i="6" s="1"/>
  <c r="AS40" i="2"/>
  <c r="AS57" i="2"/>
  <c r="AS81" i="2" s="1"/>
  <c r="AS28" i="15" s="1"/>
  <c r="AT37" i="2"/>
  <c r="AT54" i="2"/>
  <c r="AT78" i="2" s="1"/>
  <c r="AT25" i="15" s="1"/>
  <c r="AS34" i="2"/>
  <c r="AS19" i="2"/>
  <c r="AS14" i="6" s="1"/>
  <c r="AS38" i="6" s="1"/>
  <c r="AS51" i="2"/>
  <c r="AV38" i="2"/>
  <c r="AV55" i="2"/>
  <c r="AV79" i="2" s="1"/>
  <c r="AV26" i="15" s="1"/>
  <c r="AV30" i="2"/>
  <c r="AV27" i="6" s="1"/>
  <c r="AV44" i="6" s="1"/>
  <c r="AV64" i="2"/>
  <c r="AV71" i="2" s="1"/>
  <c r="AV26" i="6" s="1"/>
  <c r="AV40" i="2"/>
  <c r="AV57" i="2"/>
  <c r="AV81" i="2" s="1"/>
  <c r="AV28" i="15" s="1"/>
  <c r="AU30" i="2"/>
  <c r="AU27" i="6" s="1"/>
  <c r="AU44" i="6" s="1"/>
  <c r="AU64" i="2"/>
  <c r="AU71" i="2" s="1"/>
  <c r="AU26" i="6" s="1"/>
  <c r="AS294" i="5"/>
  <c r="AR294" i="5"/>
  <c r="AR41" i="5"/>
  <c r="AR12" i="2" s="1"/>
  <c r="AU40" i="2"/>
  <c r="AU57" i="2"/>
  <c r="AU81" i="2" s="1"/>
  <c r="AU28" i="15" s="1"/>
  <c r="AU41" i="5"/>
  <c r="AU12" i="2" s="1"/>
  <c r="AU294" i="5"/>
  <c r="AU35" i="2"/>
  <c r="AU52" i="2"/>
  <c r="AU76" i="2" s="1"/>
  <c r="AU23" i="15" s="1"/>
  <c r="AT39" i="2"/>
  <c r="AT56" i="2"/>
  <c r="AT80" i="2" s="1"/>
  <c r="AT27" i="15" s="1"/>
  <c r="AS38" i="2"/>
  <c r="AS55" i="2"/>
  <c r="AS79" i="2" s="1"/>
  <c r="AS26" i="15" s="1"/>
  <c r="AV35" i="2"/>
  <c r="AV52" i="2"/>
  <c r="AV76" i="2" s="1"/>
  <c r="AV23" i="15" s="1"/>
  <c r="AT30" i="2"/>
  <c r="AT27" i="6" s="1"/>
  <c r="AT44" i="6" s="1"/>
  <c r="AT64" i="2"/>
  <c r="AT71" i="2" s="1"/>
  <c r="AT26" i="6" s="1"/>
  <c r="AS30" i="2"/>
  <c r="AS27" i="6" s="1"/>
  <c r="AS44" i="6" s="1"/>
  <c r="AS64" i="2"/>
  <c r="AS71" i="2" s="1"/>
  <c r="AS26" i="6" s="1"/>
  <c r="AU37" i="2"/>
  <c r="AU54" i="2"/>
  <c r="AU78" i="2" s="1"/>
  <c r="AU25" i="15" s="1"/>
  <c r="AT41" i="5"/>
  <c r="AT12" i="2" s="1"/>
  <c r="AT294" i="5"/>
  <c r="AT28" i="6" l="1"/>
  <c r="AT32" i="6" s="1"/>
  <c r="AT45" i="6" s="1"/>
  <c r="AT46" i="6" s="1"/>
  <c r="AT59" i="6" s="1"/>
  <c r="AU28" i="6"/>
  <c r="AU32" i="6" s="1"/>
  <c r="AU45" i="6" s="1"/>
  <c r="AU46" i="6" s="1"/>
  <c r="AU59" i="6" s="1"/>
  <c r="AU62" i="6" s="1"/>
  <c r="AR28" i="6"/>
  <c r="AR32" i="6" s="1"/>
  <c r="AR45" i="6" s="1"/>
  <c r="AR46" i="6" s="1"/>
  <c r="AR59" i="6" s="1"/>
  <c r="AS28" i="6"/>
  <c r="AS32" i="6" s="1"/>
  <c r="AS45" i="6" s="1"/>
  <c r="AS46" i="6" s="1"/>
  <c r="AS59" i="6" s="1"/>
  <c r="AU19" i="2"/>
  <c r="AU14" i="6" s="1"/>
  <c r="AU38" i="6" s="1"/>
  <c r="AU34" i="2"/>
  <c r="AU41" i="2" s="1"/>
  <c r="AU42" i="2" s="1"/>
  <c r="AU13" i="86" s="1"/>
  <c r="AU51" i="2"/>
  <c r="AS58" i="2"/>
  <c r="AS75" i="2"/>
  <c r="AS41" i="2"/>
  <c r="AS42" i="2" s="1"/>
  <c r="AS13" i="86" s="1"/>
  <c r="AV28" i="6"/>
  <c r="AV32" i="6" s="1"/>
  <c r="AV45" i="6" s="1"/>
  <c r="AV46" i="6" s="1"/>
  <c r="AV59" i="6" s="1"/>
  <c r="AT34" i="2"/>
  <c r="AT41" i="2" s="1"/>
  <c r="AT42" i="2" s="1"/>
  <c r="AT13" i="86" s="1"/>
  <c r="AT19" i="2"/>
  <c r="AT14" i="6" s="1"/>
  <c r="AT38" i="6" s="1"/>
  <c r="AT51" i="2"/>
  <c r="AR34" i="2"/>
  <c r="AR41" i="2" s="1"/>
  <c r="AR42" i="2" s="1"/>
  <c r="AR13" i="86" s="1"/>
  <c r="AR19" i="2"/>
  <c r="AR14" i="6" s="1"/>
  <c r="AR38" i="6" s="1"/>
  <c r="AR51" i="2"/>
  <c r="AT61" i="6"/>
  <c r="AT62" i="6"/>
  <c r="AV19" i="2"/>
  <c r="AV14" i="6" s="1"/>
  <c r="AV38" i="6" s="1"/>
  <c r="AV34" i="2"/>
  <c r="AV41" i="2" s="1"/>
  <c r="AV42" i="2" s="1"/>
  <c r="AV13" i="86" s="1"/>
  <c r="AV51" i="2"/>
  <c r="AU61" i="6" l="1"/>
  <c r="I13" i="86"/>
  <c r="AU58" i="2"/>
  <c r="AU75" i="2"/>
  <c r="AS62" i="6"/>
  <c r="AS61" i="6"/>
  <c r="AV61" i="6"/>
  <c r="AV62" i="6"/>
  <c r="AR62" i="6"/>
  <c r="AR61" i="6"/>
  <c r="AV58" i="2"/>
  <c r="AV75" i="2"/>
  <c r="AT58" i="2"/>
  <c r="AT75" i="2"/>
  <c r="AS22" i="15"/>
  <c r="AS82" i="2"/>
  <c r="AS31" i="17" s="1"/>
  <c r="AS13" i="6"/>
  <c r="AS15" i="6" s="1"/>
  <c r="AR58" i="2"/>
  <c r="AR75" i="2"/>
  <c r="AS83" i="2" l="1"/>
  <c r="AS12" i="86" s="1"/>
  <c r="AU82" i="2"/>
  <c r="AU31" i="17" s="1"/>
  <c r="AU22" i="15"/>
  <c r="AU13" i="6"/>
  <c r="AU15" i="6" s="1"/>
  <c r="AT82" i="2"/>
  <c r="AT31" i="17" s="1"/>
  <c r="AT22" i="15"/>
  <c r="AT13" i="6"/>
  <c r="AT15" i="6" s="1"/>
  <c r="AV22" i="15"/>
  <c r="AV82" i="2"/>
  <c r="AV31" i="17" s="1"/>
  <c r="AV13" i="6"/>
  <c r="AV15" i="6" s="1"/>
  <c r="AS38" i="15"/>
  <c r="AS40" i="15"/>
  <c r="AS29" i="15"/>
  <c r="AS41" i="15"/>
  <c r="AS39" i="15"/>
  <c r="AS42" i="15"/>
  <c r="AS43" i="15"/>
  <c r="AR22" i="15"/>
  <c r="AR82" i="2"/>
  <c r="AR31" i="17" s="1"/>
  <c r="AS19" i="6"/>
  <c r="AS39" i="6" s="1"/>
  <c r="AS40" i="6" s="1"/>
  <c r="AS52" i="6" s="1"/>
  <c r="AS23" i="125"/>
  <c r="AS25" i="125" s="1"/>
  <c r="AS68" i="125" s="1"/>
  <c r="AR13" i="6"/>
  <c r="AR15" i="6" s="1"/>
  <c r="AT83" i="2" l="1"/>
  <c r="AT12" i="86" s="1"/>
  <c r="AS50" i="15"/>
  <c r="AS205" i="17" s="1"/>
  <c r="AS254" i="17" s="1"/>
  <c r="AS51" i="15"/>
  <c r="AS47" i="15"/>
  <c r="AS78" i="15" s="1"/>
  <c r="AV83" i="2"/>
  <c r="AV12" i="86" s="1"/>
  <c r="AR40" i="15"/>
  <c r="AR41" i="15"/>
  <c r="AR43" i="15"/>
  <c r="AR42" i="15"/>
  <c r="AR39" i="15"/>
  <c r="AR38" i="15"/>
  <c r="AR29" i="15"/>
  <c r="AR23" i="125"/>
  <c r="AR25" i="125" s="1"/>
  <c r="AR19" i="6"/>
  <c r="AR39" i="6" s="1"/>
  <c r="AR40" i="6" s="1"/>
  <c r="AR52" i="6" s="1"/>
  <c r="AT23" i="125"/>
  <c r="AT25" i="125" s="1"/>
  <c r="AT68" i="125" s="1"/>
  <c r="AT19" i="6"/>
  <c r="AT39" i="6" s="1"/>
  <c r="AT40" i="6" s="1"/>
  <c r="AT52" i="6" s="1"/>
  <c r="AS49" i="15"/>
  <c r="AS101" i="15" s="1"/>
  <c r="AT39" i="15"/>
  <c r="AT41" i="15"/>
  <c r="AT43" i="15"/>
  <c r="AT42" i="15"/>
  <c r="AT38" i="15"/>
  <c r="AT29" i="15"/>
  <c r="AT40" i="15"/>
  <c r="AV29" i="15"/>
  <c r="AV42" i="15"/>
  <c r="AV38" i="15"/>
  <c r="AV40" i="15"/>
  <c r="AV39" i="15"/>
  <c r="AV41" i="15"/>
  <c r="AV43" i="15"/>
  <c r="AU40" i="15"/>
  <c r="AU38" i="15"/>
  <c r="AU41" i="15"/>
  <c r="AU29" i="15"/>
  <c r="AU42" i="15"/>
  <c r="AU39" i="15"/>
  <c r="AU43" i="15"/>
  <c r="AS54" i="6"/>
  <c r="AS66" i="6" s="1"/>
  <c r="AS8" i="16" s="1"/>
  <c r="AS55" i="6"/>
  <c r="AS68" i="6" s="1"/>
  <c r="AS48" i="15"/>
  <c r="AS91" i="15" s="1"/>
  <c r="AU83" i="2"/>
  <c r="AU12" i="86" s="1"/>
  <c r="AS44" i="15"/>
  <c r="AS18" i="86" s="1"/>
  <c r="AS46" i="15"/>
  <c r="AS65" i="15" s="1"/>
  <c r="AV23" i="125"/>
  <c r="AV25" i="125" s="1"/>
  <c r="AV68" i="125" s="1"/>
  <c r="AV19" i="6"/>
  <c r="AV39" i="6" s="1"/>
  <c r="AV40" i="6" s="1"/>
  <c r="AV52" i="6" s="1"/>
  <c r="AU23" i="125"/>
  <c r="AU25" i="125" s="1"/>
  <c r="AU68" i="125" s="1"/>
  <c r="AU19" i="6"/>
  <c r="AU39" i="6" s="1"/>
  <c r="AU40" i="6" s="1"/>
  <c r="AU52" i="6" s="1"/>
  <c r="AR83" i="2"/>
  <c r="AR12" i="86" s="1"/>
  <c r="AR51" i="15" l="1"/>
  <c r="AR49" i="15"/>
  <c r="AR101" i="15" s="1"/>
  <c r="AR102" i="15" s="1"/>
  <c r="AR104" i="15" s="1"/>
  <c r="AS100" i="15" s="1"/>
  <c r="AS102" i="15" s="1"/>
  <c r="AR48" i="15"/>
  <c r="AR91" i="15" s="1"/>
  <c r="AR92" i="15" s="1"/>
  <c r="AU48" i="15"/>
  <c r="AU91" i="15" s="1"/>
  <c r="I12" i="86"/>
  <c r="AV48" i="15"/>
  <c r="AV91" i="15" s="1"/>
  <c r="AU55" i="6"/>
  <c r="AU68" i="6" s="1"/>
  <c r="AU54" i="6"/>
  <c r="AU66" i="6" s="1"/>
  <c r="AU8" i="16" s="1"/>
  <c r="AU49" i="15"/>
  <c r="AU101" i="15" s="1"/>
  <c r="AV46" i="15"/>
  <c r="AV65" i="15" s="1"/>
  <c r="AV44" i="15"/>
  <c r="AV18" i="86" s="1"/>
  <c r="AT48" i="15"/>
  <c r="AT91" i="15" s="1"/>
  <c r="AV50" i="15"/>
  <c r="AV205" i="17" s="1"/>
  <c r="AV254" i="17" s="1"/>
  <c r="AT50" i="15"/>
  <c r="AT205" i="17" s="1"/>
  <c r="AT254" i="17" s="1"/>
  <c r="AT51" i="15"/>
  <c r="AT55" i="6"/>
  <c r="AT68" i="6" s="1"/>
  <c r="AT54" i="6"/>
  <c r="AT66" i="6" s="1"/>
  <c r="AT8" i="16" s="1"/>
  <c r="AR54" i="6"/>
  <c r="AR66" i="6" s="1"/>
  <c r="AR8" i="16" s="1"/>
  <c r="AR55" i="6"/>
  <c r="AR68" i="6" s="1"/>
  <c r="AV54" i="6"/>
  <c r="AV66" i="6" s="1"/>
  <c r="AV8" i="16" s="1"/>
  <c r="AV55" i="6"/>
  <c r="AV68" i="6" s="1"/>
  <c r="AT49" i="15"/>
  <c r="AT101" i="15" s="1"/>
  <c r="AR68" i="125"/>
  <c r="AS70" i="6"/>
  <c r="AS26" i="12"/>
  <c r="AT47" i="15"/>
  <c r="AT78" i="15" s="1"/>
  <c r="AT46" i="15"/>
  <c r="AT65" i="15" s="1"/>
  <c r="AT44" i="15"/>
  <c r="AT18" i="86" s="1"/>
  <c r="AU51" i="15"/>
  <c r="AV51" i="15"/>
  <c r="AR44" i="15"/>
  <c r="AR46" i="15"/>
  <c r="AR65" i="15" s="1"/>
  <c r="AU47" i="15"/>
  <c r="AU78" i="15" s="1"/>
  <c r="AV49" i="15"/>
  <c r="AV101" i="15" s="1"/>
  <c r="AR47" i="15"/>
  <c r="AR78" i="15" s="1"/>
  <c r="AR79" i="15" s="1"/>
  <c r="AU44" i="15"/>
  <c r="AU18" i="86" s="1"/>
  <c r="AU46" i="15"/>
  <c r="AU65" i="15" s="1"/>
  <c r="AU50" i="15"/>
  <c r="AU205" i="17" s="1"/>
  <c r="AU254" i="17" s="1"/>
  <c r="AV47" i="15"/>
  <c r="AV78" i="15" s="1"/>
  <c r="AR50" i="15"/>
  <c r="AR205" i="17" s="1"/>
  <c r="AR254" i="17" s="1"/>
  <c r="AU93" i="15" l="1"/>
  <c r="AU110" i="15" s="1"/>
  <c r="AR93" i="15"/>
  <c r="AR110" i="15" s="1"/>
  <c r="AS93" i="15"/>
  <c r="AS110" i="15" s="1"/>
  <c r="AU103" i="15"/>
  <c r="AU111" i="15" s="1"/>
  <c r="AT103" i="15"/>
  <c r="AT111" i="15" s="1"/>
  <c r="AS103" i="15"/>
  <c r="AS111" i="15" s="1"/>
  <c r="AV93" i="15"/>
  <c r="AV110" i="15" s="1"/>
  <c r="AT93" i="15"/>
  <c r="AT110" i="15" s="1"/>
  <c r="AR26" i="12"/>
  <c r="AR70" i="6"/>
  <c r="AU26" i="12"/>
  <c r="AU70" i="6"/>
  <c r="AV103" i="15"/>
  <c r="AV111" i="15" s="1"/>
  <c r="AV70" i="6"/>
  <c r="AV26" i="12"/>
  <c r="AR80" i="15"/>
  <c r="AR109" i="15" s="1"/>
  <c r="AT70" i="6"/>
  <c r="AT26" i="12"/>
  <c r="AR18" i="86"/>
  <c r="I18" i="86" s="1"/>
  <c r="I7" i="86" s="1"/>
  <c r="I6" i="86" s="1"/>
  <c r="I44" i="15"/>
  <c r="AS27" i="12"/>
  <c r="AS57" i="13" s="1"/>
  <c r="AS44" i="13" s="1"/>
  <c r="I297" i="12" a="1"/>
  <c r="I297" i="12" s="1"/>
  <c r="AT297" i="12" s="1"/>
  <c r="AU297" i="12" s="1"/>
  <c r="AV297" i="12" s="1"/>
  <c r="AR94" i="15" l="1"/>
  <c r="AS90" i="15" s="1"/>
  <c r="AS92" i="15" s="1"/>
  <c r="AS94" i="15" s="1"/>
  <c r="AT90" i="15" s="1"/>
  <c r="AT92" i="15" s="1"/>
  <c r="AT94" i="15" s="1"/>
  <c r="AU90" i="15" s="1"/>
  <c r="AU92" i="15" s="1"/>
  <c r="AU94" i="15" s="1"/>
  <c r="AV90" i="15" s="1"/>
  <c r="AV92" i="15" s="1"/>
  <c r="AV94" i="15" s="1"/>
  <c r="AS104" i="15"/>
  <c r="AT100" i="15" s="1"/>
  <c r="AT102" i="15" s="1"/>
  <c r="AT104" i="15" s="1"/>
  <c r="AU100" i="15" s="1"/>
  <c r="AU102" i="15" s="1"/>
  <c r="AU104" i="15" s="1"/>
  <c r="AV100" i="15" s="1"/>
  <c r="AV102" i="15" s="1"/>
  <c r="AV104" i="15" s="1"/>
  <c r="AR27" i="12"/>
  <c r="I296" i="12" a="1"/>
  <c r="I296" i="12" s="1"/>
  <c r="AM3" i="16"/>
  <c r="AM3" i="13"/>
  <c r="AM3" i="126"/>
  <c r="AM3" i="12"/>
  <c r="AM3" i="86"/>
  <c r="AM3" i="6"/>
  <c r="AM3" i="101"/>
  <c r="AM3" i="2"/>
  <c r="AM3" i="15"/>
  <c r="AM3" i="125"/>
  <c r="AM3" i="17"/>
  <c r="AM3" i="5"/>
  <c r="F8" i="21"/>
  <c r="AU27" i="12"/>
  <c r="AU57" i="13" s="1"/>
  <c r="AU44" i="13" s="1"/>
  <c r="I299" i="12" a="1"/>
  <c r="I299" i="12" s="1"/>
  <c r="AV299" i="12" s="1"/>
  <c r="AT27" i="12"/>
  <c r="AT57" i="13" s="1"/>
  <c r="AT44" i="13" s="1"/>
  <c r="I298" i="12" a="1"/>
  <c r="I298" i="12" s="1"/>
  <c r="AU298" i="12" s="1"/>
  <c r="AV298" i="12" s="1"/>
  <c r="AR81" i="15"/>
  <c r="AS76" i="15" s="1"/>
  <c r="I300" i="12" a="1"/>
  <c r="I300" i="12" s="1"/>
  <c r="AV27" i="12"/>
  <c r="AV57" i="13" s="1"/>
  <c r="AV44" i="13" s="1"/>
  <c r="AR57" i="13" l="1"/>
  <c r="AT42" i="12"/>
  <c r="AU45" i="12" s="1"/>
  <c r="AU53" i="13" s="1"/>
  <c r="AU42" i="12"/>
  <c r="AV45" i="12" s="1"/>
  <c r="AV53" i="13" s="1"/>
  <c r="AV42" i="12"/>
  <c r="AR42" i="12"/>
  <c r="AS45" i="12" s="1"/>
  <c r="AS53" i="13" s="1"/>
  <c r="AS42" i="12"/>
  <c r="AT45" i="12" s="1"/>
  <c r="AT53" i="13" s="1"/>
  <c r="AS296" i="12"/>
  <c r="AS261" i="12" s="1"/>
  <c r="AS255" i="12" s="1"/>
  <c r="AS31" i="12" s="1"/>
  <c r="AT296" i="12" l="1"/>
  <c r="AS65" i="13"/>
  <c r="AS32" i="12"/>
  <c r="AS43" i="12"/>
  <c r="AT46" i="12" s="1"/>
  <c r="AT61" i="13" s="1"/>
  <c r="AR44" i="13"/>
  <c r="AR46" i="13" s="1"/>
  <c r="AR58" i="13"/>
  <c r="AR69" i="13" s="1"/>
  <c r="AS55" i="13" l="1"/>
  <c r="AS56" i="13" s="1"/>
  <c r="AS58" i="13" s="1"/>
  <c r="AR313" i="17"/>
  <c r="AR317" i="17" s="1"/>
  <c r="AR319" i="17" s="1"/>
  <c r="AR321" i="17" s="1"/>
  <c r="AR190" i="17"/>
  <c r="AR194" i="17" s="1"/>
  <c r="AR34" i="17" s="1"/>
  <c r="AR15" i="13"/>
  <c r="AR17" i="13" s="1"/>
  <c r="AR21" i="13" s="1"/>
  <c r="AR23" i="13" s="1"/>
  <c r="AT261" i="12"/>
  <c r="AT255" i="12" s="1"/>
  <c r="AT31" i="12" s="1"/>
  <c r="AU296" i="12"/>
  <c r="AS45" i="13"/>
  <c r="AS9" i="16" s="1"/>
  <c r="AS66" i="13"/>
  <c r="AT63" i="13" s="1"/>
  <c r="AT64" i="13" s="1"/>
  <c r="AS41" i="13" l="1"/>
  <c r="AS43" i="13" s="1"/>
  <c r="AS46" i="13" s="1"/>
  <c r="AR27" i="13"/>
  <c r="AR30" i="13" s="1"/>
  <c r="AR10" i="16" s="1"/>
  <c r="AR14" i="125"/>
  <c r="AU261" i="12"/>
  <c r="AU255" i="12" s="1"/>
  <c r="AU31" i="12" s="1"/>
  <c r="AV296" i="12"/>
  <c r="AV261" i="12" s="1"/>
  <c r="AV255" i="12" s="1"/>
  <c r="AV31" i="12" s="1"/>
  <c r="AT65" i="13"/>
  <c r="AT45" i="13" s="1"/>
  <c r="AT9" i="16" s="1"/>
  <c r="AT32" i="12"/>
  <c r="AT43" i="12"/>
  <c r="AU46" i="12" s="1"/>
  <c r="AU61" i="13" s="1"/>
  <c r="AS69" i="13"/>
  <c r="AT55" i="13"/>
  <c r="AR12" i="16" l="1"/>
  <c r="AR19" i="16" s="1"/>
  <c r="AS20" i="13"/>
  <c r="AS55" i="17" s="1"/>
  <c r="AS93" i="17" s="1"/>
  <c r="AT56" i="13"/>
  <c r="AT58" i="13" s="1"/>
  <c r="AT41" i="13"/>
  <c r="AT43" i="13" s="1"/>
  <c r="AV32" i="12"/>
  <c r="AV65" i="13"/>
  <c r="AV45" i="13" s="1"/>
  <c r="AV9" i="16" s="1"/>
  <c r="AU43" i="12"/>
  <c r="AV46" i="12" s="1"/>
  <c r="AV61" i="13" s="1"/>
  <c r="AU32" i="12"/>
  <c r="AU65" i="13"/>
  <c r="AU45" i="13" s="1"/>
  <c r="AU9" i="16" s="1"/>
  <c r="AR15" i="125"/>
  <c r="AT66" i="13"/>
  <c r="AU63" i="13" s="1"/>
  <c r="AU64" i="13" s="1"/>
  <c r="AS15" i="13"/>
  <c r="AS17" i="13" s="1"/>
  <c r="AS21" i="13" s="1"/>
  <c r="AS313" i="17"/>
  <c r="AS317" i="17" s="1"/>
  <c r="AS319" i="17" s="1"/>
  <c r="AS321" i="17" s="1"/>
  <c r="AS190" i="17"/>
  <c r="AS194" i="17" s="1"/>
  <c r="AS34" i="17" s="1"/>
  <c r="AV43" i="12"/>
  <c r="AR75" i="101" l="1"/>
  <c r="AR76" i="101" s="1"/>
  <c r="AS23" i="13"/>
  <c r="AS14" i="125" s="1"/>
  <c r="AS76" i="17"/>
  <c r="AS69" i="17"/>
  <c r="AS71" i="17" s="1"/>
  <c r="AS178" i="17" s="1"/>
  <c r="AS26" i="17"/>
  <c r="AU66" i="13"/>
  <c r="AV63" i="13" s="1"/>
  <c r="AV64" i="13" s="1"/>
  <c r="AV66" i="13" s="1"/>
  <c r="AR79" i="101"/>
  <c r="AR80" i="101" s="1"/>
  <c r="AR86" i="101" s="1"/>
  <c r="AR87" i="101" s="1"/>
  <c r="AR29" i="17"/>
  <c r="AR36" i="17" s="1"/>
  <c r="AR127" i="17" s="1"/>
  <c r="AR129" i="17" s="1"/>
  <c r="AR201" i="17"/>
  <c r="AT69" i="13"/>
  <c r="AU55" i="13"/>
  <c r="AT46" i="13"/>
  <c r="AT20" i="13"/>
  <c r="AT55" i="17" s="1"/>
  <c r="AS27" i="13" l="1"/>
  <c r="AS30" i="13" s="1"/>
  <c r="AS10" i="16" s="1"/>
  <c r="AS12" i="16" s="1"/>
  <c r="AR81" i="101"/>
  <c r="AR144" i="17"/>
  <c r="AR153" i="17"/>
  <c r="AR137" i="17"/>
  <c r="AR140" i="17" s="1"/>
  <c r="AU41" i="13"/>
  <c r="AU43" i="13" s="1"/>
  <c r="AU56" i="13"/>
  <c r="AU58" i="13" s="1"/>
  <c r="AT76" i="17"/>
  <c r="AT69" i="17"/>
  <c r="AT71" i="17" s="1"/>
  <c r="AT178" i="17" s="1"/>
  <c r="AT26" i="17"/>
  <c r="AT93" i="17"/>
  <c r="AT313" i="17"/>
  <c r="AT317" i="17" s="1"/>
  <c r="AT319" i="17" s="1"/>
  <c r="AT321" i="17" s="1"/>
  <c r="AT15" i="13"/>
  <c r="AT17" i="13" s="1"/>
  <c r="AT21" i="13" s="1"/>
  <c r="AT23" i="13" s="1"/>
  <c r="AT190" i="17"/>
  <c r="AT194" i="17" s="1"/>
  <c r="AT34" i="17" s="1"/>
  <c r="AS15" i="125"/>
  <c r="AR248" i="17"/>
  <c r="AS75" i="101" l="1"/>
  <c r="AS76" i="101" s="1"/>
  <c r="AS79" i="101" s="1"/>
  <c r="AS80" i="101" s="1"/>
  <c r="AS86" i="101" s="1"/>
  <c r="AS87" i="101" s="1"/>
  <c r="AU69" i="13"/>
  <c r="AV55" i="13"/>
  <c r="AU46" i="13"/>
  <c r="AU20" i="13"/>
  <c r="AU55" i="17" s="1"/>
  <c r="AR156" i="17"/>
  <c r="AR158" i="17"/>
  <c r="AR147" i="17"/>
  <c r="AR149" i="17"/>
  <c r="AT14" i="125"/>
  <c r="AT27" i="13"/>
  <c r="AT30" i="13" s="1"/>
  <c r="AT10" i="16" s="1"/>
  <c r="AS81" i="101" l="1"/>
  <c r="AT12" i="16"/>
  <c r="AR164" i="17"/>
  <c r="AR170" i="17" s="1"/>
  <c r="AR204" i="17" s="1"/>
  <c r="AR253" i="17" s="1"/>
  <c r="AR167" i="17"/>
  <c r="AR131" i="17" s="1"/>
  <c r="AU69" i="17"/>
  <c r="AU71" i="17" s="1"/>
  <c r="AU178" i="17" s="1"/>
  <c r="AU93" i="17"/>
  <c r="AU76" i="17"/>
  <c r="AU26" i="17"/>
  <c r="AU15" i="13"/>
  <c r="AU17" i="13" s="1"/>
  <c r="AU21" i="13" s="1"/>
  <c r="AU23" i="13" s="1"/>
  <c r="AU313" i="17"/>
  <c r="AU317" i="17" s="1"/>
  <c r="AU319" i="17" s="1"/>
  <c r="AU321" i="17" s="1"/>
  <c r="AU190" i="17"/>
  <c r="AU194" i="17" s="1"/>
  <c r="AU34" i="17" s="1"/>
  <c r="AT15" i="125"/>
  <c r="AV56" i="13"/>
  <c r="AV58" i="13" s="1"/>
  <c r="AV69" i="13" s="1"/>
  <c r="AV41" i="13"/>
  <c r="AV43" i="13" s="1"/>
  <c r="AT75" i="101" l="1"/>
  <c r="AT76" i="101" s="1"/>
  <c r="AT79" i="101" s="1"/>
  <c r="AT80" i="101" s="1"/>
  <c r="AT86" i="101" s="1"/>
  <c r="AT87" i="101" s="1"/>
  <c r="AU89" i="101" s="1"/>
  <c r="AR38" i="17"/>
  <c r="AR171" i="17"/>
  <c r="AR169" i="17"/>
  <c r="AR37" i="17" s="1"/>
  <c r="AV20" i="13"/>
  <c r="AV55" i="17" s="1"/>
  <c r="AV46" i="13"/>
  <c r="AU27" i="13"/>
  <c r="AU30" i="13" s="1"/>
  <c r="AU10" i="16" s="1"/>
  <c r="AU14" i="125"/>
  <c r="AR203" i="17" l="1"/>
  <c r="AT81" i="101"/>
  <c r="AU12" i="16"/>
  <c r="AU15" i="125"/>
  <c r="AV15" i="13"/>
  <c r="AV17" i="13" s="1"/>
  <c r="AV21" i="13" s="1"/>
  <c r="AV23" i="13" s="1"/>
  <c r="AV313" i="17"/>
  <c r="AV317" i="17" s="1"/>
  <c r="AV319" i="17" s="1"/>
  <c r="AV321" i="17" s="1"/>
  <c r="AV190" i="17"/>
  <c r="AV194" i="17" s="1"/>
  <c r="AV34" i="17" s="1"/>
  <c r="AR326" i="17"/>
  <c r="AR327" i="17" s="1"/>
  <c r="AR331" i="17" s="1"/>
  <c r="AR333" i="17" s="1"/>
  <c r="AR217" i="17" s="1"/>
  <c r="AR264" i="17" s="1"/>
  <c r="AR252" i="17"/>
  <c r="AV93" i="17"/>
  <c r="AV76" i="17"/>
  <c r="AV26" i="17"/>
  <c r="AV69" i="17"/>
  <c r="AV71" i="17" s="1"/>
  <c r="AV178" i="17" s="1"/>
  <c r="AU75" i="101" l="1"/>
  <c r="AU76" i="101" s="1"/>
  <c r="AU79" i="101" s="1"/>
  <c r="AU80" i="101" s="1"/>
  <c r="AU86" i="101" s="1"/>
  <c r="AU87" i="101" s="1"/>
  <c r="AV89" i="101" s="1"/>
  <c r="AV14" i="125"/>
  <c r="AV27" i="13"/>
  <c r="AV30" i="13" s="1"/>
  <c r="AV10" i="16" s="1"/>
  <c r="AU81" i="101" l="1"/>
  <c r="AV12" i="16"/>
  <c r="AV15" i="125"/>
  <c r="I17" i="125"/>
  <c r="I19" i="125" s="1"/>
  <c r="AV75" i="101" l="1"/>
  <c r="AV76" i="101" s="1"/>
  <c r="AV79" i="101" s="1"/>
  <c r="AV80" i="101" s="1"/>
  <c r="AV86" i="101" s="1"/>
  <c r="AV87" i="101" s="1"/>
  <c r="I72" i="125"/>
  <c r="AR62" i="125"/>
  <c r="AS62" i="125"/>
  <c r="AT62" i="125"/>
  <c r="AU62" i="125"/>
  <c r="AV62" i="125"/>
  <c r="I27" i="125"/>
  <c r="AV81" i="101" l="1"/>
  <c r="I40" i="125"/>
  <c r="I49" i="125"/>
  <c r="I51" i="125" l="1"/>
  <c r="I52" i="125"/>
  <c r="I42" i="125"/>
  <c r="I43" i="125"/>
  <c r="I54" i="125" l="1"/>
  <c r="I45" i="125"/>
  <c r="I60" i="125" l="1"/>
  <c r="AS64" i="125" s="1"/>
  <c r="AS69" i="125" s="1"/>
  <c r="AS70" i="125" s="1"/>
  <c r="AV64" i="125" l="1"/>
  <c r="AV69" i="125" s="1"/>
  <c r="AV70" i="125" s="1"/>
  <c r="AU64" i="125"/>
  <c r="AU69" i="125" s="1"/>
  <c r="AU70" i="125" s="1"/>
  <c r="AR64" i="125"/>
  <c r="AR69" i="125" s="1"/>
  <c r="AR70" i="125" s="1"/>
  <c r="AT64" i="125"/>
  <c r="AT69" i="125" s="1"/>
  <c r="AT70" i="125" s="1"/>
  <c r="I73" i="125" l="1"/>
  <c r="I74" i="125" s="1"/>
  <c r="AS283" i="106" l="1"/>
  <c r="AS77" i="15" s="1"/>
  <c r="AS79" i="15" s="1"/>
  <c r="AR282" i="106"/>
  <c r="AR64" i="15" s="1"/>
  <c r="AR66" i="15" s="1"/>
  <c r="AR67" i="15" l="1"/>
  <c r="AR108" i="15" s="1"/>
  <c r="AR112" i="15" s="1"/>
  <c r="AR206" i="17" s="1"/>
  <c r="AS80" i="15"/>
  <c r="AS109" i="15" s="1"/>
  <c r="AS81" i="15" l="1"/>
  <c r="AT76" i="15" s="1"/>
  <c r="AR68" i="15"/>
  <c r="AS63" i="15" s="1"/>
  <c r="AR255" i="17"/>
  <c r="AR207" i="17"/>
  <c r="AT283" i="106" l="1"/>
  <c r="AT77" i="15" s="1"/>
  <c r="AT79" i="15" s="1"/>
  <c r="AT80" i="15" s="1"/>
  <c r="AT109" i="15" s="1"/>
  <c r="AS282" i="106"/>
  <c r="AS64" i="15" s="1"/>
  <c r="AS66" i="15" s="1"/>
  <c r="AS67" i="15" s="1"/>
  <c r="AS108" i="15" s="1"/>
  <c r="AS112" i="15" s="1"/>
  <c r="AS206" i="17" s="1"/>
  <c r="AS255" i="17" s="1"/>
  <c r="AR216" i="17"/>
  <c r="AR294" i="17"/>
  <c r="AR296" i="17" s="1"/>
  <c r="AR297" i="17" s="1"/>
  <c r="AR299" i="17" s="1"/>
  <c r="AS68" i="15" l="1"/>
  <c r="AT63" i="15" s="1"/>
  <c r="AT81" i="15"/>
  <c r="AU76" i="15" s="1"/>
  <c r="AR303" i="17"/>
  <c r="AR307" i="17" s="1"/>
  <c r="AR236" i="17" s="1"/>
  <c r="AR218" i="17"/>
  <c r="AR219" i="17" s="1"/>
  <c r="AR225" i="17" s="1"/>
  <c r="AR227" i="17" s="1"/>
  <c r="AR231" i="17" s="1"/>
  <c r="AR235" i="17" s="1"/>
  <c r="AR237" i="17" l="1"/>
  <c r="AR239" i="17" s="1"/>
  <c r="AU283" i="106"/>
  <c r="AU77" i="15" s="1"/>
  <c r="AU79" i="15" s="1"/>
  <c r="AT282" i="106"/>
  <c r="AT64" i="15" s="1"/>
  <c r="AT66" i="15" s="1"/>
  <c r="AR220" i="17"/>
  <c r="AS215" i="17" s="1"/>
  <c r="AR240" i="17" l="1"/>
  <c r="AR20" i="16" s="1"/>
  <c r="AT67" i="15"/>
  <c r="AT108" i="15" s="1"/>
  <c r="AT112" i="15" s="1"/>
  <c r="AT206" i="17" s="1"/>
  <c r="AT255" i="17" s="1"/>
  <c r="AU80" i="15"/>
  <c r="AU109" i="15" s="1"/>
  <c r="AR250" i="17"/>
  <c r="AR256" i="17" s="1"/>
  <c r="AR39" i="17"/>
  <c r="AR22" i="16" l="1"/>
  <c r="AR49" i="101" s="1"/>
  <c r="AR53" i="101" s="1"/>
  <c r="AR58" i="101" s="1"/>
  <c r="AR63" i="101" s="1"/>
  <c r="AT68" i="15"/>
  <c r="AU63" i="15" s="1"/>
  <c r="AU81" i="15"/>
  <c r="AV76" i="15" s="1"/>
  <c r="AR266" i="17"/>
  <c r="AR272" i="17" s="1"/>
  <c r="AR274" i="17" s="1"/>
  <c r="AR40" i="17" s="1"/>
  <c r="AR41" i="17" s="1"/>
  <c r="AS25" i="17" s="1"/>
  <c r="AS45" i="17" s="1"/>
  <c r="AS53" i="17" s="1"/>
  <c r="AS57" i="17" s="1"/>
  <c r="AS78" i="17" s="1"/>
  <c r="AS80" i="17" s="1"/>
  <c r="AS84" i="17" s="1"/>
  <c r="AS86" i="17" s="1"/>
  <c r="AR263" i="17"/>
  <c r="AR93" i="101" l="1"/>
  <c r="AS69" i="101"/>
  <c r="AS50" i="101" s="1"/>
  <c r="AV283" i="106"/>
  <c r="AV77" i="15" s="1"/>
  <c r="AV79" i="15" s="1"/>
  <c r="AV80" i="15" s="1"/>
  <c r="AV109" i="15" s="1"/>
  <c r="AR267" i="17"/>
  <c r="AS262" i="17" s="1"/>
  <c r="AU282" i="106"/>
  <c r="AU64" i="15" s="1"/>
  <c r="AU66" i="15" s="1"/>
  <c r="AU67" i="15" s="1"/>
  <c r="AU108" i="15" s="1"/>
  <c r="AU112" i="15" s="1"/>
  <c r="AU206" i="17" s="1"/>
  <c r="AU255" i="17" s="1"/>
  <c r="AS179" i="17"/>
  <c r="AS180" i="17" s="1"/>
  <c r="AS184" i="17" s="1"/>
  <c r="AS27" i="17"/>
  <c r="AS28" i="17" s="1"/>
  <c r="AR94" i="101" l="1"/>
  <c r="AR95" i="101" s="1"/>
  <c r="AV81" i="15"/>
  <c r="AU68" i="15"/>
  <c r="AV63" i="15" s="1"/>
  <c r="AS126" i="17"/>
  <c r="AS46" i="17"/>
  <c r="AS92" i="17" s="1"/>
  <c r="AS95" i="17" s="1"/>
  <c r="AS185" i="17"/>
  <c r="AS14" i="16" s="1"/>
  <c r="AS35" i="17"/>
  <c r="AR100" i="101" l="1"/>
  <c r="AR101" i="101" s="1"/>
  <c r="AS51" i="101" s="1"/>
  <c r="AS19" i="16"/>
  <c r="AS29" i="17" s="1"/>
  <c r="AS36" i="17" s="1"/>
  <c r="AS127" i="17" s="1"/>
  <c r="AS129" i="17" s="1"/>
  <c r="AV282" i="106"/>
  <c r="AV64" i="15" s="1"/>
  <c r="AV66" i="15" s="1"/>
  <c r="AV67" i="15" s="1"/>
  <c r="AV108" i="15" s="1"/>
  <c r="AV112" i="15" s="1"/>
  <c r="AV206" i="17" s="1"/>
  <c r="AV255" i="17" s="1"/>
  <c r="AS201" i="17" l="1"/>
  <c r="AS248" i="17" s="1"/>
  <c r="AS144" i="17"/>
  <c r="AS153" i="17"/>
  <c r="AS137" i="17"/>
  <c r="AS140" i="17" s="1"/>
  <c r="AV68" i="15"/>
  <c r="AS156" i="17" l="1"/>
  <c r="AS158" i="17"/>
  <c r="AS149" i="17"/>
  <c r="AS147" i="17"/>
  <c r="AS167" i="17" l="1"/>
  <c r="AS131" i="17" s="1"/>
  <c r="AS164" i="17"/>
  <c r="AS170" i="17" s="1"/>
  <c r="AS204" i="17" s="1"/>
  <c r="AS253" i="17" s="1"/>
  <c r="AS169" i="17" l="1"/>
  <c r="AS203" i="17" s="1"/>
  <c r="AS171" i="17"/>
  <c r="AS38" i="17"/>
  <c r="AS37" i="17" l="1"/>
  <c r="AS252" i="17"/>
  <c r="AS326" i="17"/>
  <c r="AS327" i="17" s="1"/>
  <c r="AS331" i="17" s="1"/>
  <c r="AS333" i="17" s="1"/>
  <c r="AS217" i="17" s="1"/>
  <c r="AS264" i="17" s="1"/>
  <c r="AS207" i="17"/>
  <c r="AS216" i="17" l="1"/>
  <c r="AS294" i="17"/>
  <c r="AS296" i="17" s="1"/>
  <c r="AS297" i="17" s="1"/>
  <c r="AS299" i="17" s="1"/>
  <c r="AS218" i="17" l="1"/>
  <c r="AS219" i="17" s="1"/>
  <c r="AS225" i="17" s="1"/>
  <c r="AS227" i="17" s="1"/>
  <c r="AS231" i="17" s="1"/>
  <c r="AS235" i="17" s="1"/>
  <c r="AS303" i="17"/>
  <c r="AS307" i="17" s="1"/>
  <c r="AS236" i="17" s="1"/>
  <c r="AS237" i="17" l="1"/>
  <c r="AS239" i="17" s="1"/>
  <c r="AS220" i="17"/>
  <c r="AT215" i="17" s="1"/>
  <c r="AS240" i="17" l="1"/>
  <c r="AS20" i="16" s="1"/>
  <c r="AS250" i="17"/>
  <c r="AS256" i="17" s="1"/>
  <c r="AS39" i="17"/>
  <c r="AS22" i="16" l="1"/>
  <c r="AS49" i="101" s="1"/>
  <c r="AS53" i="101" s="1"/>
  <c r="AS58" i="101" s="1"/>
  <c r="AS93" i="101" s="1"/>
  <c r="AS94" i="101" s="1"/>
  <c r="AS95" i="101" s="1"/>
  <c r="AS266" i="17"/>
  <c r="AS272" i="17" s="1"/>
  <c r="AS274" i="17" s="1"/>
  <c r="AS40" i="17" s="1"/>
  <c r="AS41" i="17" s="1"/>
  <c r="AT25" i="17" s="1"/>
  <c r="AT45" i="17" s="1"/>
  <c r="AT53" i="17" s="1"/>
  <c r="AT57" i="17" s="1"/>
  <c r="AT78" i="17" s="1"/>
  <c r="AT80" i="17" s="1"/>
  <c r="AT84" i="17" s="1"/>
  <c r="AT86" i="17" s="1"/>
  <c r="AS263" i="17"/>
  <c r="AS100" i="101" l="1"/>
  <c r="AS101" i="101" s="1"/>
  <c r="AT69" i="101"/>
  <c r="AT50" i="101" s="1"/>
  <c r="AS63" i="101"/>
  <c r="AS267" i="17"/>
  <c r="AT262" i="17" s="1"/>
  <c r="AT179" i="17"/>
  <c r="AT180" i="17" s="1"/>
  <c r="AT184" i="17" s="1"/>
  <c r="AT27" i="17"/>
  <c r="AT28" i="17" s="1"/>
  <c r="AT46" i="17" l="1"/>
  <c r="AT92" i="17" s="1"/>
  <c r="AT95" i="17" s="1"/>
  <c r="AT126" i="17"/>
  <c r="AT35" i="17"/>
  <c r="AT185" i="17"/>
  <c r="AT14" i="16" s="1"/>
  <c r="AT19" i="16" l="1"/>
  <c r="AT29" i="17" s="1"/>
  <c r="AT36" i="17" s="1"/>
  <c r="AT201" i="17" l="1"/>
  <c r="AT248" i="17" s="1"/>
  <c r="AT127" i="17"/>
  <c r="AT129" i="17" s="1"/>
  <c r="AT137" i="17" l="1"/>
  <c r="AT140" i="17" s="1"/>
  <c r="AT153" i="17"/>
  <c r="AT144" i="17"/>
  <c r="AT149" i="17" l="1"/>
  <c r="AT147" i="17"/>
  <c r="AT156" i="17"/>
  <c r="AT158" i="17"/>
  <c r="AT167" i="17" l="1"/>
  <c r="AT131" i="17" s="1"/>
  <c r="AT164" i="17"/>
  <c r="AT170" i="17" s="1"/>
  <c r="AT171" i="17" l="1"/>
  <c r="AT204" i="17"/>
  <c r="AT253" i="17" s="1"/>
  <c r="AT169" i="17"/>
  <c r="AT37" i="17" s="1"/>
  <c r="AT38" i="17"/>
  <c r="AT203" i="17" l="1"/>
  <c r="AT207" i="17" s="1"/>
  <c r="AT252" i="17" l="1"/>
  <c r="AT326" i="17"/>
  <c r="AT327" i="17" s="1"/>
  <c r="AT331" i="17" s="1"/>
  <c r="AT333" i="17" s="1"/>
  <c r="AT217" i="17" s="1"/>
  <c r="AT264" i="17" s="1"/>
  <c r="AT216" i="17"/>
  <c r="AT294" i="17" l="1"/>
  <c r="AT296" i="17" s="1"/>
  <c r="AT297" i="17" s="1"/>
  <c r="AT299" i="17" s="1"/>
  <c r="AT218" i="17" s="1"/>
  <c r="AT219" i="17" s="1"/>
  <c r="AT225" i="17" s="1"/>
  <c r="AT227" i="17" s="1"/>
  <c r="AT231" i="17" s="1"/>
  <c r="AT235" i="17" s="1"/>
  <c r="AT303" i="17" l="1"/>
  <c r="AT307" i="17" s="1"/>
  <c r="AT236" i="17" s="1"/>
  <c r="AT237" i="17" s="1"/>
  <c r="AT220" i="17"/>
  <c r="AU215" i="17" s="1"/>
  <c r="AT240" i="17" l="1"/>
  <c r="AT20" i="16" s="1"/>
  <c r="AT239" i="17"/>
  <c r="AT22" i="16" l="1"/>
  <c r="AT49" i="101" s="1"/>
  <c r="AT53" i="101" s="1"/>
  <c r="AT58" i="101" s="1"/>
  <c r="AT250" i="17"/>
  <c r="AT256" i="17" s="1"/>
  <c r="AT39" i="17"/>
  <c r="AU69" i="101" l="1"/>
  <c r="AU50" i="101" s="1"/>
  <c r="AT93" i="101"/>
  <c r="AT94" i="101" s="1"/>
  <c r="AT63" i="101"/>
  <c r="AT266" i="17"/>
  <c r="AT272" i="17" s="1"/>
  <c r="AT274" i="17" s="1"/>
  <c r="AT40" i="17" s="1"/>
  <c r="AT41" i="17" s="1"/>
  <c r="AU25" i="17" s="1"/>
  <c r="AU45" i="17" s="1"/>
  <c r="AU53" i="17" s="1"/>
  <c r="AU57" i="17" s="1"/>
  <c r="AU78" i="17" s="1"/>
  <c r="AU80" i="17" s="1"/>
  <c r="AU84" i="17" s="1"/>
  <c r="AU86" i="17" s="1"/>
  <c r="AT263" i="17"/>
  <c r="AU179" i="17" l="1"/>
  <c r="AU180" i="17" s="1"/>
  <c r="AU184" i="17" s="1"/>
  <c r="AU27" i="17"/>
  <c r="AU28" i="17" s="1"/>
  <c r="AT267" i="17"/>
  <c r="AU262" i="17" s="1"/>
  <c r="AT95" i="101"/>
  <c r="AT100" i="101"/>
  <c r="AT101" i="101" s="1"/>
  <c r="AU103" i="101" l="1"/>
  <c r="AU105" i="101" s="1"/>
  <c r="AU51" i="101" s="1"/>
  <c r="AU126" i="17"/>
  <c r="AU46" i="17"/>
  <c r="AU92" i="17" s="1"/>
  <c r="AU95" i="17" s="1"/>
  <c r="AU185" i="17"/>
  <c r="AU14" i="16" s="1"/>
  <c r="AU35" i="17"/>
  <c r="AU19" i="16" l="1"/>
  <c r="AU29" i="17" l="1"/>
  <c r="AU36" i="17" s="1"/>
  <c r="AU127" i="17" s="1"/>
  <c r="AU129" i="17" s="1"/>
  <c r="AU153" i="17" s="1"/>
  <c r="AU201" i="17"/>
  <c r="AU248" i="17" s="1"/>
  <c r="AU144" i="17" l="1"/>
  <c r="AU147" i="17" s="1"/>
  <c r="AU137" i="17"/>
  <c r="AU140" i="17" s="1"/>
  <c r="AU158" i="17"/>
  <c r="AU156" i="17"/>
  <c r="AU149" i="17" l="1"/>
  <c r="AU164" i="17" s="1"/>
  <c r="AU170" i="17" s="1"/>
  <c r="AU38" i="17" s="1"/>
  <c r="AU167" i="17"/>
  <c r="AU131" i="17" s="1"/>
  <c r="AU204" i="17" l="1"/>
  <c r="AU253" i="17" s="1"/>
  <c r="AU171" i="17"/>
  <c r="AU169" i="17"/>
  <c r="AU37" i="17" s="1"/>
  <c r="AU203" i="17" l="1"/>
  <c r="AU252" i="17" s="1"/>
  <c r="AU207" i="17" l="1"/>
  <c r="AU216" i="17" s="1"/>
  <c r="AU326" i="17"/>
  <c r="AU327" i="17" s="1"/>
  <c r="AU331" i="17" s="1"/>
  <c r="AU333" i="17" s="1"/>
  <c r="AU217" i="17" s="1"/>
  <c r="AU264" i="17" s="1"/>
  <c r="AU294" i="17" l="1"/>
  <c r="AU296" i="17" s="1"/>
  <c r="AU297" i="17" s="1"/>
  <c r="AU299" i="17" s="1"/>
  <c r="AU303" i="17" s="1"/>
  <c r="AU307" i="17" s="1"/>
  <c r="AU236" i="17" s="1"/>
  <c r="AU218" i="17" l="1"/>
  <c r="AU219" i="17" s="1"/>
  <c r="AU225" i="17" s="1"/>
  <c r="AU227" i="17" s="1"/>
  <c r="AU231" i="17" s="1"/>
  <c r="AU235" i="17" s="1"/>
  <c r="AU237" i="17" s="1"/>
  <c r="AU240" i="17" s="1"/>
  <c r="AU20" i="16" s="1"/>
  <c r="AU22" i="16" l="1"/>
  <c r="AU49" i="101" s="1"/>
  <c r="AU53" i="101" s="1"/>
  <c r="AU58" i="101" s="1"/>
  <c r="AU220" i="17"/>
  <c r="AV215" i="17" s="1"/>
  <c r="AU239" i="17"/>
  <c r="AU250" i="17" s="1"/>
  <c r="AU256" i="17" s="1"/>
  <c r="AU39" i="17" l="1"/>
  <c r="AU263" i="17"/>
  <c r="AU266" i="17"/>
  <c r="AU272" i="17" s="1"/>
  <c r="AU274" i="17" s="1"/>
  <c r="AU40" i="17" s="1"/>
  <c r="AU93" i="101"/>
  <c r="AU94" i="101" s="1"/>
  <c r="AU63" i="101"/>
  <c r="AV69" i="101"/>
  <c r="AV50" i="101" s="1"/>
  <c r="AU41" i="17" l="1"/>
  <c r="AV25" i="17" s="1"/>
  <c r="AV45" i="17" s="1"/>
  <c r="AV53" i="17" s="1"/>
  <c r="AV57" i="17" s="1"/>
  <c r="AV78" i="17" s="1"/>
  <c r="AV80" i="17" s="1"/>
  <c r="AV84" i="17" s="1"/>
  <c r="AV86" i="17" s="1"/>
  <c r="AV179" i="17" s="1"/>
  <c r="AV180" i="17" s="1"/>
  <c r="AV184" i="17" s="1"/>
  <c r="AU267" i="17"/>
  <c r="AV262" i="17" s="1"/>
  <c r="AU100" i="101"/>
  <c r="AU101" i="101" s="1"/>
  <c r="AU95" i="101"/>
  <c r="AV103" i="101" l="1"/>
  <c r="AV105" i="101" s="1"/>
  <c r="AV51" i="101" s="1"/>
  <c r="AV27" i="17"/>
  <c r="AV28" i="17" s="1"/>
  <c r="AV126" i="17" s="1"/>
  <c r="AV185" i="17"/>
  <c r="AV14" i="16" s="1"/>
  <c r="AV35" i="17"/>
  <c r="AV19" i="16" l="1"/>
  <c r="AV29" i="17" s="1"/>
  <c r="AV36" i="17" s="1"/>
  <c r="AV127" i="17" s="1"/>
  <c r="AV129" i="17" s="1"/>
  <c r="AV46" i="17"/>
  <c r="AV92" i="17" s="1"/>
  <c r="AV95" i="17" s="1"/>
  <c r="AV201" i="17" l="1"/>
  <c r="AV248" i="17" s="1"/>
  <c r="AV153" i="17"/>
  <c r="AV144" i="17"/>
  <c r="AV137" i="17"/>
  <c r="AV140" i="17" s="1"/>
  <c r="AV158" i="17" l="1"/>
  <c r="AV156" i="17"/>
  <c r="AV147" i="17"/>
  <c r="AV149" i="17"/>
  <c r="AV167" i="17" l="1"/>
  <c r="AV131" i="17" s="1"/>
  <c r="AV164" i="17"/>
  <c r="AV170" i="17" s="1"/>
  <c r="AV38" i="17" l="1"/>
  <c r="AV204" i="17"/>
  <c r="AV253" i="17" s="1"/>
  <c r="AV171" i="17"/>
  <c r="AV169" i="17"/>
  <c r="AV203" i="17" l="1"/>
  <c r="AV37" i="17"/>
  <c r="AV326" i="17" l="1"/>
  <c r="AV327" i="17" s="1"/>
  <c r="AV331" i="17" s="1"/>
  <c r="AV333" i="17" s="1"/>
  <c r="AV217" i="17" s="1"/>
  <c r="AV264" i="17" s="1"/>
  <c r="AV252" i="17"/>
  <c r="AV207" i="17"/>
  <c r="AV216" i="17" l="1"/>
  <c r="AV294" i="17"/>
  <c r="AV296" i="17" s="1"/>
  <c r="AV297" i="17" s="1"/>
  <c r="AV299" i="17" s="1"/>
  <c r="AV303" i="17" l="1"/>
  <c r="AV307" i="17" s="1"/>
  <c r="AV236" i="17" s="1"/>
  <c r="AV218" i="17"/>
  <c r="AV219" i="17" s="1"/>
  <c r="AV225" i="17" s="1"/>
  <c r="AV227" i="17" s="1"/>
  <c r="AV231" i="17" s="1"/>
  <c r="AV235" i="17" s="1"/>
  <c r="AV237" i="17" l="1"/>
  <c r="AV239" i="17" s="1"/>
  <c r="AV220" i="17"/>
  <c r="AV240" i="17" l="1"/>
  <c r="AV20" i="16" s="1"/>
  <c r="AV250" i="17"/>
  <c r="AV256" i="17" s="1"/>
  <c r="AV39" i="17"/>
  <c r="AV22" i="16" l="1"/>
  <c r="AV49" i="101" s="1"/>
  <c r="AV53" i="101" s="1"/>
  <c r="AV58" i="101" s="1"/>
  <c r="AV61" i="101" s="1"/>
  <c r="AV62" i="101" s="1"/>
  <c r="AV266" i="17"/>
  <c r="AV272" i="17" s="1"/>
  <c r="AV274" i="17" s="1"/>
  <c r="AV40" i="17" s="1"/>
  <c r="AV41" i="17" s="1"/>
  <c r="AV263" i="17"/>
  <c r="AV93" i="101" l="1"/>
  <c r="AV94" i="101" s="1"/>
  <c r="AV95" i="101" s="1"/>
  <c r="AV267" i="17"/>
  <c r="AV63" i="101"/>
  <c r="AV100" i="101" l="1"/>
  <c r="AV101" i="10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<sst xmlns="http://schemas.openxmlformats.org/spreadsheetml/2006/main" count="4563" uniqueCount="1397">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</sst>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4">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92D050"/>
        <bgColor indexed="64"/>
      </patternFill>
    </fill>
    <fill>
      <patternFill patternType="solid">
        <fgColor rgb="FFFF33CC"/>
        <bgColor indexed="64"/>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67">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xf numFmtId="9" fontId="8" fillId="131" borderId="0" xfId="1" applyFont="1" applyFill="1" applyAlignment="1">
      <alignment vertical="center"/>
    </xf>
    <xf numFmtId="170" fontId="8" fillId="9" borderId="0" xfId="0" applyNumberFormat="1" applyFont="1" applyFill="1" applyAlignment="1">
      <alignment vertical="center"/>
    </xf>
    <xf numFmtId="170" fontId="8" fillId="131" borderId="0" xfId="0" applyNumberFormat="1" applyFont="1" applyFill="1" applyAlignment="1">
      <alignment vertical="center"/>
    </xf>
    <xf numFmtId="168" fontId="8" fillId="131" borderId="0" xfId="0" applyNumberFormat="1" applyFont="1" applyFill="1" applyAlignment="1">
      <alignment vertical="center"/>
    </xf>
    <xf numFmtId="170" fontId="0" fillId="0" borderId="0" xfId="0" applyNumberFormat="1"/>
    <xf numFmtId="0" fontId="8" fillId="0" borderId="0" xfId="0" applyFont="1" applyFill="1"/>
    <xf numFmtId="168" fontId="8" fillId="132" borderId="0" xfId="0" applyNumberFormat="1" applyFont="1" applyFill="1" applyAlignment="1">
      <alignment vertical="center"/>
    </xf>
    <xf numFmtId="202" fontId="0" fillId="6" borderId="0" xfId="0" applyNumberFormat="1" applyFill="1"/>
    <xf numFmtId="202" fontId="13" fillId="130" borderId="0" xfId="0" applyNumberFormat="1" applyFont="1" applyFill="1"/>
    <xf numFmtId="202" fontId="13" fillId="94" borderId="0" xfId="0" applyNumberFormat="1" applyFont="1" applyFill="1"/>
    <xf numFmtId="168" fontId="8" fillId="133" borderId="0" xfId="0" applyNumberFormat="1" applyFont="1" applyFill="1" applyAlignment="1">
      <alignment vertical="center"/>
    </xf>
    <xf numFmtId="171" fontId="0" fillId="0" borderId="0" xfId="0" applyNumberFormat="1"/>
    <xf numFmtId="170" fontId="25" fillId="0" borderId="274" xfId="0" applyNumberFormat="1" applyFont="1" applyBorder="1" applyAlignment="1">
      <alignment vertical="center"/>
    </xf>
    <xf numFmtId="170" fontId="9" fillId="0" borderId="0" xfId="6" applyNumberFormat="1" applyFont="1" applyAlignment="1">
      <alignment vertical="center"/>
    </xf>
    <xf numFmtId="165" fontId="0" fillId="0" borderId="0" xfId="6" applyFont="1"/>
    <xf numFmtId="10" fontId="8" fillId="133" borderId="0" xfId="1" applyNumberFormat="1" applyFont="1" applyFill="1" applyAlignment="1">
      <alignment vertical="center"/>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00FF00"/>
      <color rgb="FF99FF99"/>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Drop" dropLines="14" dropStyle="combo" dx="22" fmlaLink="UserInterface!$E$29" fmlaRange="$E$15:$E$28" sel="11" val="0"/>
</file>

<file path=xl/ctrlProps/ctrlProp10.xml><?xml version="1.0" encoding="utf-8"?>
<formControlPr xmlns="http://schemas.microsoft.com/office/spreadsheetml/2009/9/main" objectType="Drop" dropLines="14" dropStyle="combo" dx="22" fmlaLink="UserInterface!$E$29" fmlaRange="UserInterface!$E$15:$E$28" sel="11" val="0"/>
</file>

<file path=xl/ctrlProps/ctrlProp11.xml><?xml version="1.0" encoding="utf-8"?>
<formControlPr xmlns="http://schemas.microsoft.com/office/spreadsheetml/2009/9/main" objectType="Drop" dropLines="14" dropStyle="combo" dx="22" fmlaLink="UserInterface!$E$29" fmlaRange="UserInterface!$E$15:$E$28" sel="11" val="0"/>
</file>

<file path=xl/ctrlProps/ctrlProp12.xml><?xml version="1.0" encoding="utf-8"?>
<formControlPr xmlns="http://schemas.microsoft.com/office/spreadsheetml/2009/9/main" objectType="Drop" dropLines="14" dropStyle="combo" dx="22" fmlaLink="UserInterface!$E$29" fmlaRange="UserInterface!$E$15:$E$28" sel="11" val="0"/>
</file>

<file path=xl/ctrlProps/ctrlProp13.xml><?xml version="1.0" encoding="utf-8"?>
<formControlPr xmlns="http://schemas.microsoft.com/office/spreadsheetml/2009/9/main" objectType="Drop" dropLines="14" dropStyle="combo" dx="22" fmlaLink="UserInterface!$E$29" fmlaRange="UserInterface!$E$15:$E$28" sel="11" val="0"/>
</file>

<file path=xl/ctrlProps/ctrlProp14.xml><?xml version="1.0" encoding="utf-8"?>
<formControlPr xmlns="http://schemas.microsoft.com/office/spreadsheetml/2009/9/main" objectType="Drop" dropLines="14" dropStyle="combo" dx="22" fmlaLink="UserInterface!$E$29" fmlaRange="UserInterface!$E$15:$E$28" sel="11" val="0"/>
</file>

<file path=xl/ctrlProps/ctrlProp15.xml><?xml version="1.0" encoding="utf-8"?>
<formControlPr xmlns="http://schemas.microsoft.com/office/spreadsheetml/2009/9/main" objectType="Drop" dropLines="14" dropStyle="combo" dx="22" fmlaLink="UserInterface!$E$29" fmlaRange="UserInterface!$E$15:$E$28" sel="11" val="0"/>
</file>

<file path=xl/ctrlProps/ctrlProp2.xml><?xml version="1.0" encoding="utf-8"?>
<formControlPr xmlns="http://schemas.microsoft.com/office/spreadsheetml/2009/9/main" objectType="Drop" dropLines="14" dropStyle="combo" dx="22" fmlaLink="UserInterface!$E$29" fmlaRange="UserInterface!$E$15:$E$28" sel="11" val="0"/>
</file>

<file path=xl/ctrlProps/ctrlProp3.xml><?xml version="1.0" encoding="utf-8"?>
<formControlPr xmlns="http://schemas.microsoft.com/office/spreadsheetml/2009/9/main" objectType="Drop" dropLines="14" dropStyle="combo" dx="22" fmlaLink="UserInterface!$E$29" fmlaRange="UserInterface!$E$15:$E$28" sel="11" val="0"/>
</file>

<file path=xl/ctrlProps/ctrlProp4.xml><?xml version="1.0" encoding="utf-8"?>
<formControlPr xmlns="http://schemas.microsoft.com/office/spreadsheetml/2009/9/main" objectType="Drop" dropLines="14" dropStyle="combo" dx="22" fmlaLink="UserInterface!$E$29" fmlaRange="UserInterface!$E$15:$E$28" sel="11" val="0"/>
</file>

<file path=xl/ctrlProps/ctrlProp5.xml><?xml version="1.0" encoding="utf-8"?>
<formControlPr xmlns="http://schemas.microsoft.com/office/spreadsheetml/2009/9/main" objectType="Drop" dropLines="14" dropStyle="combo" dx="22" fmlaLink="UserInterface!$E$29" fmlaRange="UserInterface!$E$15:$E$28" sel="11" val="0"/>
</file>

<file path=xl/ctrlProps/ctrlProp6.xml><?xml version="1.0" encoding="utf-8"?>
<formControlPr xmlns="http://schemas.microsoft.com/office/spreadsheetml/2009/9/main" objectType="Drop" dropLines="14" dropStyle="combo" dx="22" fmlaLink="UserInterface!$E$29" fmlaRange="UserInterface!$E$15:$E$28" sel="11" val="0"/>
</file>

<file path=xl/ctrlProps/ctrlProp7.xml><?xml version="1.0" encoding="utf-8"?>
<formControlPr xmlns="http://schemas.microsoft.com/office/spreadsheetml/2009/9/main" objectType="Drop" dropLines="14" dropStyle="combo" dx="22" fmlaLink="UserInterface!$E$29" fmlaRange="UserInterface!$E$15:$E$28" sel="11" val="0"/>
</file>

<file path=xl/ctrlProps/ctrlProp8.xml><?xml version="1.0" encoding="utf-8"?>
<formControlPr xmlns="http://schemas.microsoft.com/office/spreadsheetml/2009/9/main" objectType="Drop" dropLines="14" dropStyle="combo" dx="22" fmlaLink="UserInterface!$E$29" fmlaRange="UserInterface!$E$15:$E$28" sel="11" val="0"/>
</file>

<file path=xl/ctrlProps/ctrlProp9.xml><?xml version="1.0" encoding="utf-8"?>
<formControlPr xmlns="http://schemas.microsoft.com/office/spreadsheetml/2009/9/main" objectType="Drop" dropLines="14" dropStyle="combo" dx="22" fmlaLink="UserInterface!$E$29" fmlaRange="UserInterface!$E$15:$E$28" sel="1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8</xdr:col>
          <xdr:colOff>0</xdr:colOff>
          <xdr:row>0</xdr:row>
          <xdr:rowOff>165100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B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C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3460750</xdr:colOff>
          <xdr:row>0</xdr:row>
          <xdr:rowOff>50800</xdr:rowOff>
        </xdr:from>
        <xdr:to>
          <xdr:col>4</xdr:col>
          <xdr:colOff>4394200</xdr:colOff>
          <xdr:row>0</xdr:row>
          <xdr:rowOff>184150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1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12700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184150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4089400</xdr:colOff>
          <xdr:row>0</xdr:row>
          <xdr:rowOff>69850</xdr:rowOff>
        </xdr:from>
        <xdr:to>
          <xdr:col>4</xdr:col>
          <xdr:colOff>5022850</xdr:colOff>
          <xdr:row>0</xdr:row>
          <xdr:rowOff>203200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4089400</xdr:colOff>
          <xdr:row>0</xdr:row>
          <xdr:rowOff>69850</xdr:rowOff>
        </xdr:from>
        <xdr:to>
          <xdr:col>4</xdr:col>
          <xdr:colOff>5022850</xdr:colOff>
          <xdr:row>0</xdr:row>
          <xdr:rowOff>203200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165100</xdr:colOff>
          <xdr:row>0</xdr:row>
          <xdr:rowOff>165100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146050</xdr:colOff>
          <xdr:row>0</xdr:row>
          <xdr:rowOff>31750</xdr:rowOff>
        </xdr:from>
        <xdr:to>
          <xdr:col>7</xdr:col>
          <xdr:colOff>152400</xdr:colOff>
          <xdr:row>0</xdr:row>
          <xdr:rowOff>165100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opLeftCell="A5" zoomScale="85" zoomScaleNormal="85" workbookViewId="0">
      <selection activeCell="E1" sqref="E1"/>
    </sheetView>
  </sheetViews>
  <sheetFormatPr defaultColWidth="0" defaultRowHeight="13.5" zeroHeight="1"/>
  <cols>
    <col min="1" max="4" width="1.4609375" customWidth="1"/>
    <col min="5" max="5" width="24.4609375" customWidth="1"/>
    <col min="6" max="6" width="2.4609375" customWidth="1"/>
    <col min="7" max="7" width="47" customWidth="1"/>
    <col min="8" max="8" width="2.3828125" customWidth="1"/>
    <col min="9" max="9" width="22.3828125" customWidth="1"/>
    <col min="10" max="10" width="2.765625" customWidth="1"/>
    <col min="11" max="11" width="66" customWidth="1"/>
    <col min="12" max="12" width="1.765625" customWidth="1"/>
    <col min="13" max="46" width="9.61328125" hidden="1" customWidth="1"/>
    <col min="47" max="47" width="3" hidden="1" customWidth="1"/>
  </cols>
  <sheetData>
    <row r="1" spans="1:12" ht="40.9" customHeight="1">
      <c r="A1" s="150"/>
      <c r="B1" s="150"/>
      <c r="C1" s="150"/>
      <c r="D1" s="150"/>
      <c r="E1" s="150"/>
      <c r="F1" s="150"/>
      <c r="G1" s="150"/>
      <c r="H1" s="150"/>
      <c r="I1" s="150"/>
      <c r="J1" s="150"/>
      <c r="K1" s="150"/>
      <c r="L1" s="150"/>
    </row>
    <row r="2" spans="1:12" ht="24">
      <c r="A2" s="156" t="s">
        <v>0</v>
      </c>
      <c r="B2" s="151"/>
      <c r="C2" s="151"/>
      <c r="D2" s="151"/>
      <c r="E2" s="151"/>
      <c r="F2" s="158"/>
      <c r="G2" s="158"/>
      <c r="H2" s="181"/>
      <c r="I2" s="181"/>
      <c r="J2" s="196"/>
      <c r="K2" s="196"/>
      <c r="L2" s="196"/>
    </row>
    <row r="3" spans="1:12" ht="18.5">
      <c r="A3" s="152"/>
      <c r="B3" s="152" t="s">
        <v>1</v>
      </c>
      <c r="C3" s="151"/>
      <c r="D3" s="151"/>
      <c r="E3" s="151"/>
      <c r="F3" s="158"/>
      <c r="G3" s="158"/>
      <c r="H3" s="181"/>
      <c r="I3" s="181"/>
      <c r="J3" s="181"/>
      <c r="K3" s="181"/>
      <c r="L3" s="181"/>
    </row>
    <row r="4" spans="1:12" ht="16">
      <c r="A4" s="151"/>
      <c r="B4" s="151"/>
      <c r="C4" s="153" t="s">
        <v>2</v>
      </c>
      <c r="D4" s="153"/>
      <c r="E4" s="153"/>
      <c r="F4" s="154"/>
      <c r="G4" s="158" t="str">
        <f ca="1">MID(CELL("filename"),SEARCH("[",CELL("filename"))+1,SEARCH("]",CELL("filename"))-SEARCH("[",CELL("filename"))-1)</f>
        <v>ED2 PCFM SPD 20251219.xlsx</v>
      </c>
      <c r="H4" s="179"/>
      <c r="I4" s="179"/>
      <c r="J4" s="172"/>
      <c r="K4" s="172"/>
      <c r="L4" s="172"/>
    </row>
    <row r="5" spans="1:12" ht="16">
      <c r="A5" s="151"/>
      <c r="B5" s="151"/>
      <c r="C5" s="153" t="s">
        <v>3</v>
      </c>
      <c r="D5" s="155"/>
      <c r="E5" s="155"/>
      <c r="F5" s="155"/>
      <c r="G5" s="550">
        <v>45687</v>
      </c>
      <c r="H5" s="158"/>
      <c r="I5" s="169"/>
      <c r="J5" s="158"/>
      <c r="K5" s="168"/>
      <c r="L5" s="168"/>
    </row>
    <row r="6" spans="1:12" ht="16">
      <c r="A6" s="2"/>
      <c r="B6" s="2"/>
      <c r="C6" s="2"/>
      <c r="D6" s="2"/>
      <c r="E6" s="2"/>
      <c r="F6" s="2"/>
      <c r="G6" s="2"/>
      <c r="H6" s="2"/>
      <c r="I6" s="2"/>
      <c r="J6" s="2"/>
      <c r="K6" s="2"/>
      <c r="L6" s="2"/>
    </row>
    <row r="7" spans="1:12" ht="16">
      <c r="A7" s="159"/>
      <c r="B7" s="37" t="s">
        <v>4</v>
      </c>
      <c r="C7" s="37"/>
      <c r="D7" s="37"/>
      <c r="E7" s="37"/>
      <c r="F7" s="37"/>
      <c r="G7" s="37"/>
      <c r="H7" s="37"/>
      <c r="I7" s="37"/>
      <c r="J7" s="37"/>
      <c r="K7" s="37"/>
    </row>
    <row r="8" spans="1:12" ht="16">
      <c r="A8" s="159"/>
      <c r="B8" s="159"/>
      <c r="C8" s="159"/>
      <c r="D8" s="159"/>
      <c r="E8" s="21"/>
      <c r="F8" s="159"/>
      <c r="G8" s="160"/>
      <c r="H8" s="159"/>
      <c r="I8" s="159"/>
      <c r="J8" s="159"/>
      <c r="K8" s="159"/>
    </row>
    <row r="9" spans="1:12" ht="16">
      <c r="A9" s="159"/>
      <c r="B9" s="159"/>
      <c r="C9" s="159"/>
      <c r="D9" s="159"/>
      <c r="E9" s="160" t="s">
        <v>5</v>
      </c>
      <c r="F9" s="159"/>
      <c r="G9" s="160" t="s">
        <v>6</v>
      </c>
      <c r="H9" s="159"/>
      <c r="I9" s="172" t="s">
        <v>5</v>
      </c>
      <c r="J9" s="159"/>
      <c r="K9" s="159" t="s">
        <v>7</v>
      </c>
    </row>
    <row r="10" spans="1:12" ht="16">
      <c r="A10" s="159"/>
      <c r="B10" s="159"/>
      <c r="C10" s="159"/>
      <c r="D10" s="159"/>
      <c r="E10" s="8" t="s">
        <v>5</v>
      </c>
      <c r="F10" s="159"/>
      <c r="G10" s="160" t="s">
        <v>8</v>
      </c>
      <c r="H10" s="159"/>
      <c r="I10" s="175" t="s">
        <v>5</v>
      </c>
      <c r="J10" s="159"/>
      <c r="K10" s="159" t="s">
        <v>9</v>
      </c>
    </row>
    <row r="11" spans="1:12" ht="16.5" thickBot="1">
      <c r="A11" s="159"/>
      <c r="B11" s="159"/>
      <c r="C11" s="159"/>
      <c r="D11" s="159"/>
      <c r="E11" s="30" t="s">
        <v>5</v>
      </c>
      <c r="F11" s="159"/>
      <c r="G11" s="160" t="s">
        <v>10</v>
      </c>
      <c r="H11" s="159"/>
      <c r="I11" s="176" t="s">
        <v>5</v>
      </c>
      <c r="J11" s="159"/>
      <c r="K11" s="159" t="s">
        <v>11</v>
      </c>
    </row>
    <row r="12" spans="1:12" ht="16.5" thickBot="1">
      <c r="A12" s="159"/>
      <c r="B12" s="159"/>
      <c r="C12" s="159"/>
      <c r="D12" s="159"/>
      <c r="E12" s="161" t="s">
        <v>5</v>
      </c>
      <c r="F12" s="159"/>
      <c r="G12" s="160" t="s">
        <v>12</v>
      </c>
      <c r="H12" s="159"/>
      <c r="I12" s="177" t="s">
        <v>5</v>
      </c>
      <c r="J12" s="159"/>
      <c r="K12" s="159" t="s">
        <v>13</v>
      </c>
    </row>
    <row r="13" spans="1:12" ht="16">
      <c r="A13" s="159"/>
      <c r="B13" s="159"/>
      <c r="C13" s="159"/>
      <c r="D13" s="159"/>
      <c r="E13" s="159" t="s">
        <v>5</v>
      </c>
      <c r="F13" s="159"/>
      <c r="G13" s="159" t="s">
        <v>14</v>
      </c>
      <c r="H13" s="159"/>
      <c r="I13" s="178" t="s">
        <v>5</v>
      </c>
      <c r="J13" s="159"/>
      <c r="K13" s="159" t="s">
        <v>15</v>
      </c>
    </row>
    <row r="14" spans="1:12" ht="16">
      <c r="A14" s="159"/>
      <c r="B14" s="159"/>
      <c r="C14" s="159"/>
      <c r="D14" s="159"/>
      <c r="E14" s="159"/>
      <c r="F14" s="159"/>
      <c r="G14" s="159"/>
      <c r="H14" s="159"/>
      <c r="I14" s="12" t="s">
        <v>5</v>
      </c>
      <c r="J14" s="159"/>
      <c r="K14" s="159" t="s">
        <v>16</v>
      </c>
    </row>
    <row r="15" spans="1:12" ht="16">
      <c r="A15" s="159"/>
      <c r="B15" s="159"/>
      <c r="C15" s="159"/>
      <c r="D15" s="159"/>
      <c r="E15" s="159"/>
      <c r="F15" s="159"/>
      <c r="G15" s="159"/>
      <c r="H15" s="159"/>
      <c r="I15" s="174" t="s">
        <v>5</v>
      </c>
      <c r="J15" s="159"/>
      <c r="K15" s="159" t="s">
        <v>17</v>
      </c>
    </row>
    <row r="16" spans="1:12" ht="16">
      <c r="A16" s="159"/>
      <c r="B16" s="159"/>
      <c r="C16" s="159"/>
      <c r="D16" s="159"/>
      <c r="E16" s="159"/>
      <c r="F16" s="159"/>
      <c r="G16" s="159"/>
      <c r="H16" s="159"/>
      <c r="I16" s="292" t="s">
        <v>5</v>
      </c>
      <c r="J16" s="159"/>
      <c r="K16" s="159" t="s">
        <v>18</v>
      </c>
    </row>
    <row r="17" spans="1:11" ht="16">
      <c r="A17" s="159"/>
      <c r="B17" s="159"/>
      <c r="C17" s="159"/>
      <c r="D17" s="159"/>
      <c r="E17" s="159"/>
      <c r="F17" s="159"/>
      <c r="G17" s="159"/>
      <c r="H17" s="159"/>
    </row>
    <row r="18" spans="1:11" ht="16">
      <c r="A18" s="159"/>
      <c r="B18" s="159"/>
      <c r="C18" s="159"/>
      <c r="D18" s="159"/>
      <c r="E18" s="159"/>
      <c r="F18" s="159"/>
      <c r="G18" s="159"/>
      <c r="H18" s="159"/>
      <c r="I18" s="159"/>
      <c r="J18" s="159"/>
      <c r="K18" s="159"/>
    </row>
    <row r="19" spans="1:11" ht="16">
      <c r="A19" s="159"/>
      <c r="B19" s="37" t="s">
        <v>19</v>
      </c>
      <c r="C19" s="37"/>
      <c r="D19" s="37"/>
      <c r="E19" s="37"/>
      <c r="F19" s="37"/>
      <c r="G19" s="37"/>
      <c r="H19" s="37"/>
      <c r="I19" s="37"/>
      <c r="J19" s="37"/>
      <c r="K19" s="37"/>
    </row>
    <row r="20" spans="1:11" ht="16">
      <c r="A20" s="159"/>
      <c r="B20" s="159"/>
      <c r="C20" s="159"/>
      <c r="D20" s="159"/>
      <c r="E20" s="21"/>
      <c r="F20" s="159"/>
      <c r="G20" s="160"/>
      <c r="H20" s="159"/>
      <c r="I20" s="159"/>
      <c r="J20" s="159"/>
      <c r="K20" s="159"/>
    </row>
    <row r="21" spans="1:11" ht="16.5" thickBot="1">
      <c r="A21" s="159"/>
      <c r="B21" s="159"/>
      <c r="C21" s="159"/>
      <c r="D21" s="159"/>
      <c r="E21" s="159" t="s">
        <v>20</v>
      </c>
      <c r="F21" s="159"/>
      <c r="G21" s="159"/>
      <c r="H21" s="159"/>
      <c r="I21" s="159" t="s">
        <v>21</v>
      </c>
      <c r="J21" s="159"/>
      <c r="K21" s="160"/>
    </row>
    <row r="22" spans="1:11" ht="17" thickTop="1" thickBot="1">
      <c r="A22" s="159"/>
      <c r="B22" s="159"/>
      <c r="C22" s="159"/>
      <c r="D22" s="159"/>
      <c r="E22" s="162" t="s">
        <v>22</v>
      </c>
      <c r="F22" s="173"/>
      <c r="G22" s="163" t="s">
        <v>23</v>
      </c>
      <c r="H22" s="159"/>
      <c r="I22" s="162" t="s">
        <v>24</v>
      </c>
      <c r="J22" s="167"/>
      <c r="K22" s="163"/>
    </row>
    <row r="23" spans="1:11" ht="17" thickTop="1" thickBot="1">
      <c r="A23" s="159"/>
      <c r="B23" s="159"/>
      <c r="C23" s="159"/>
      <c r="D23" s="159"/>
      <c r="E23" s="162" t="s">
        <v>25</v>
      </c>
      <c r="F23" s="173"/>
      <c r="G23" s="163" t="s">
        <v>26</v>
      </c>
      <c r="H23" s="159"/>
      <c r="I23" s="162" t="s">
        <v>27</v>
      </c>
      <c r="J23" s="167"/>
      <c r="K23" s="163"/>
    </row>
    <row r="24" spans="1:11" ht="17" thickTop="1" thickBot="1">
      <c r="A24" s="159"/>
      <c r="B24" s="159"/>
      <c r="C24" s="159"/>
      <c r="D24" s="159"/>
      <c r="E24" s="162" t="s">
        <v>28</v>
      </c>
      <c r="F24" s="173"/>
      <c r="G24" s="163" t="s">
        <v>29</v>
      </c>
      <c r="H24" s="159"/>
      <c r="I24" s="162" t="s">
        <v>30</v>
      </c>
      <c r="J24" s="167"/>
      <c r="K24" s="163"/>
    </row>
    <row r="25" spans="1:11" ht="17" thickTop="1" thickBot="1">
      <c r="A25" s="159"/>
      <c r="B25" s="159"/>
      <c r="C25" s="159"/>
      <c r="D25" s="159"/>
      <c r="E25" s="164"/>
      <c r="F25" s="164"/>
      <c r="G25" s="163"/>
      <c r="H25" s="159"/>
      <c r="I25" s="162" t="s">
        <v>31</v>
      </c>
      <c r="J25" s="167"/>
      <c r="K25" s="163"/>
    </row>
    <row r="26" spans="1:11" ht="17" thickTop="1" thickBot="1">
      <c r="A26" s="159"/>
      <c r="B26" s="159"/>
      <c r="C26" s="159"/>
      <c r="D26" s="159"/>
      <c r="E26" s="159" t="s">
        <v>32</v>
      </c>
      <c r="F26" s="159"/>
      <c r="G26" s="160"/>
      <c r="H26" s="159"/>
      <c r="I26" s="162" t="s">
        <v>33</v>
      </c>
      <c r="J26" s="167"/>
      <c r="K26" s="163"/>
    </row>
    <row r="27" spans="1:11" ht="17" thickTop="1" thickBot="1">
      <c r="A27" s="159"/>
      <c r="B27" s="159"/>
      <c r="C27" s="159"/>
      <c r="D27" s="159"/>
      <c r="E27" s="162" t="s">
        <v>10</v>
      </c>
      <c r="F27" s="167"/>
      <c r="G27" s="163" t="s">
        <v>34</v>
      </c>
      <c r="H27" s="159"/>
      <c r="I27" s="162" t="s">
        <v>35</v>
      </c>
      <c r="J27" s="167"/>
      <c r="K27" s="163"/>
    </row>
    <row r="28" spans="1:11" ht="17" thickTop="1" thickBot="1">
      <c r="A28" s="159"/>
      <c r="B28" s="159"/>
      <c r="C28" s="159"/>
      <c r="D28" s="159"/>
      <c r="E28" s="162" t="s">
        <v>36</v>
      </c>
      <c r="F28" s="167"/>
      <c r="G28" s="163" t="s">
        <v>37</v>
      </c>
      <c r="H28" s="159"/>
      <c r="I28" s="162" t="s">
        <v>38</v>
      </c>
      <c r="J28" s="167"/>
      <c r="K28" s="163"/>
    </row>
    <row r="29" spans="1:11" ht="17" thickTop="1" thickBot="1">
      <c r="A29" s="159"/>
      <c r="B29" s="159"/>
      <c r="C29" s="159"/>
      <c r="D29" s="159"/>
      <c r="E29" s="162" t="s">
        <v>39</v>
      </c>
      <c r="F29" s="167"/>
      <c r="G29" s="163" t="s">
        <v>40</v>
      </c>
      <c r="H29" s="159"/>
      <c r="I29" s="162" t="s">
        <v>41</v>
      </c>
      <c r="J29" s="167"/>
      <c r="K29" s="163"/>
    </row>
    <row r="30" spans="1:11" ht="17" thickTop="1" thickBot="1">
      <c r="A30" s="159"/>
      <c r="B30" s="159"/>
      <c r="C30" s="159"/>
      <c r="D30" s="159"/>
      <c r="E30" s="159"/>
      <c r="F30" s="159"/>
      <c r="G30" s="160"/>
      <c r="H30" s="159"/>
      <c r="I30" s="162" t="s">
        <v>42</v>
      </c>
      <c r="J30" s="167"/>
      <c r="K30" s="163"/>
    </row>
    <row r="31" spans="1:11" ht="17" thickTop="1" thickBot="1">
      <c r="E31" s="159" t="s">
        <v>43</v>
      </c>
      <c r="F31" s="159"/>
      <c r="G31" s="159"/>
      <c r="I31" s="162" t="s">
        <v>44</v>
      </c>
      <c r="J31" s="167"/>
      <c r="K31" s="159"/>
    </row>
    <row r="32" spans="1:11" ht="17" thickTop="1" thickBot="1">
      <c r="E32" s="162" t="s">
        <v>45</v>
      </c>
      <c r="F32" s="332"/>
      <c r="G32" s="163" t="s">
        <v>46</v>
      </c>
      <c r="I32" s="162" t="s">
        <v>47</v>
      </c>
      <c r="J32" s="167"/>
      <c r="K32" s="159"/>
    </row>
    <row r="33" spans="1:11" ht="17" thickTop="1" thickBot="1">
      <c r="A33" s="159"/>
      <c r="B33" s="159"/>
      <c r="C33" s="159"/>
      <c r="D33" s="159"/>
      <c r="E33" s="162" t="s">
        <v>48</v>
      </c>
      <c r="F33" s="332"/>
      <c r="G33" s="163" t="s">
        <v>49</v>
      </c>
      <c r="H33" s="159"/>
      <c r="I33" s="162" t="s">
        <v>50</v>
      </c>
      <c r="J33" s="167"/>
      <c r="K33" s="159"/>
    </row>
    <row r="34" spans="1:11" ht="17" thickTop="1" thickBot="1">
      <c r="A34" s="159"/>
      <c r="B34" s="159"/>
      <c r="C34" s="159"/>
      <c r="D34" s="159"/>
      <c r="E34" s="162" t="s">
        <v>51</v>
      </c>
      <c r="F34" s="332"/>
      <c r="G34" s="163" t="s">
        <v>52</v>
      </c>
      <c r="H34" s="159"/>
      <c r="I34" s="162" t="s">
        <v>53</v>
      </c>
      <c r="J34" s="167"/>
      <c r="K34" s="159"/>
    </row>
    <row r="35" spans="1:11" ht="17" thickTop="1" thickBot="1">
      <c r="A35" s="159"/>
      <c r="B35" s="159"/>
      <c r="C35" s="159"/>
      <c r="D35" s="159"/>
      <c r="E35" s="162" t="s">
        <v>54</v>
      </c>
      <c r="F35" s="332"/>
      <c r="G35" s="159" t="s">
        <v>55</v>
      </c>
      <c r="H35" s="159"/>
      <c r="I35" s="162" t="s">
        <v>56</v>
      </c>
      <c r="J35" s="167"/>
      <c r="K35" s="159"/>
    </row>
    <row r="36" spans="1:11" ht="16.5" thickBot="1">
      <c r="A36" s="159"/>
      <c r="B36" s="159"/>
      <c r="C36" s="159"/>
      <c r="D36" s="159"/>
      <c r="E36" s="162" t="s">
        <v>57</v>
      </c>
      <c r="F36" s="332"/>
      <c r="G36" s="163" t="s">
        <v>58</v>
      </c>
      <c r="H36" s="159"/>
      <c r="K36" s="159"/>
    </row>
    <row r="37" spans="1:11" ht="16.5" thickBot="1">
      <c r="A37" s="159"/>
      <c r="B37" s="159"/>
      <c r="C37" s="159"/>
      <c r="D37" s="159"/>
      <c r="E37" s="162" t="s">
        <v>59</v>
      </c>
      <c r="F37" s="332"/>
      <c r="G37" s="163" t="s">
        <v>60</v>
      </c>
      <c r="H37" s="159"/>
    </row>
    <row r="38" spans="1:11" ht="16.5" thickBot="1">
      <c r="A38" s="159"/>
      <c r="B38" s="159"/>
      <c r="C38" s="159"/>
      <c r="D38" s="159"/>
      <c r="E38" s="162" t="s">
        <v>61</v>
      </c>
      <c r="F38" s="332"/>
      <c r="G38" s="163" t="s">
        <v>62</v>
      </c>
      <c r="H38" s="159"/>
    </row>
    <row r="39" spans="1:11" ht="16.5" thickBot="1">
      <c r="A39" s="159"/>
      <c r="B39" s="159"/>
      <c r="C39" s="159"/>
      <c r="D39" s="159"/>
      <c r="E39" s="162" t="s">
        <v>63</v>
      </c>
      <c r="F39" s="332"/>
      <c r="G39" s="163" t="s">
        <v>64</v>
      </c>
      <c r="H39" s="159"/>
    </row>
    <row r="40" spans="1:11" ht="16.5" thickBot="1">
      <c r="A40" s="159"/>
      <c r="B40" s="159"/>
      <c r="C40" s="159"/>
      <c r="D40" s="159"/>
      <c r="E40" s="162" t="s">
        <v>65</v>
      </c>
      <c r="F40" s="332"/>
      <c r="G40" s="163" t="s">
        <v>66</v>
      </c>
      <c r="H40" s="159"/>
      <c r="I40" s="164"/>
      <c r="J40" s="159"/>
      <c r="K40" s="159"/>
    </row>
    <row r="41" spans="1:11" ht="16">
      <c r="A41" s="159"/>
      <c r="B41" s="159"/>
      <c r="C41" s="159"/>
      <c r="D41" s="159"/>
      <c r="H41" s="159"/>
    </row>
    <row r="42" spans="1:11" ht="16.5" thickBot="1">
      <c r="A42" s="159"/>
      <c r="B42" s="159"/>
      <c r="C42" s="159"/>
      <c r="D42" s="159"/>
      <c r="E42" s="159" t="s">
        <v>67</v>
      </c>
      <c r="F42" s="159"/>
      <c r="G42" s="159"/>
      <c r="H42" s="159"/>
    </row>
    <row r="43" spans="1:11" ht="17" thickTop="1" thickBot="1">
      <c r="A43" s="159"/>
      <c r="B43" s="159"/>
      <c r="C43" s="159"/>
      <c r="D43" s="159"/>
      <c r="E43" s="164" t="s">
        <v>68</v>
      </c>
      <c r="F43" s="167"/>
      <c r="G43" s="159" t="s">
        <v>69</v>
      </c>
      <c r="H43" s="159"/>
    </row>
    <row r="44" spans="1:11" ht="17" thickTop="1" thickBot="1">
      <c r="A44" s="159"/>
      <c r="B44" s="159"/>
      <c r="C44" s="159"/>
      <c r="D44" s="159"/>
      <c r="E44" s="164" t="s">
        <v>70</v>
      </c>
      <c r="F44" s="167"/>
      <c r="G44" s="159" t="s">
        <v>71</v>
      </c>
      <c r="H44" s="159"/>
    </row>
    <row r="45" spans="1:11" ht="16.5" thickTop="1">
      <c r="A45" s="159"/>
      <c r="B45" s="159"/>
      <c r="C45" s="159"/>
      <c r="D45" s="159"/>
      <c r="H45" s="159"/>
    </row>
    <row r="46" spans="1:11" ht="16.5" thickBot="1">
      <c r="A46" s="159"/>
      <c r="B46" s="159"/>
      <c r="C46" s="159"/>
      <c r="D46" s="159"/>
      <c r="E46" s="159" t="s">
        <v>72</v>
      </c>
      <c r="F46" s="2"/>
      <c r="G46" s="2"/>
      <c r="H46" s="2"/>
    </row>
    <row r="47" spans="1:11" ht="16.5" thickBot="1">
      <c r="A47" s="159"/>
      <c r="B47" s="159"/>
      <c r="C47" s="159"/>
      <c r="D47" s="159"/>
      <c r="E47" s="164" t="s">
        <v>73</v>
      </c>
      <c r="F47" s="173"/>
      <c r="G47" s="163" t="s">
        <v>74</v>
      </c>
      <c r="H47" s="2"/>
    </row>
    <row r="48" spans="1:11" ht="16">
      <c r="A48" s="159"/>
      <c r="B48" s="159"/>
      <c r="C48" s="159"/>
      <c r="D48" s="159"/>
      <c r="H48" s="2"/>
    </row>
    <row r="49" spans="1:12" ht="16">
      <c r="A49" s="159"/>
      <c r="B49" s="159"/>
      <c r="C49" s="159"/>
      <c r="D49" s="159"/>
      <c r="H49" s="2"/>
      <c r="I49" s="164"/>
      <c r="J49" s="159"/>
      <c r="K49" s="163"/>
      <c r="L49" s="2"/>
    </row>
    <row r="50" spans="1:12" ht="16">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16384" width="9" hidden="1"/>
  </cols>
  <sheetData>
    <row r="1" spans="1:49" s="82" customFormat="1" ht="18.5">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
      <c r="I14" s="182"/>
      <c r="AQ14" s="147"/>
    </row>
    <row r="15" spans="1:49" s="82" customFormat="1" ht="16">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1.321792585589326</v>
      </c>
      <c r="AT15" s="92">
        <f>InputSummary!AT$194</f>
        <v>1.3743827621199309</v>
      </c>
      <c r="AU15" s="92">
        <f>InputSummary!AU$194</f>
        <v>1.4066722012363251</v>
      </c>
      <c r="AV15" s="92">
        <f>InputSummary!AV$194</f>
        <v>1.4352422149476913</v>
      </c>
    </row>
    <row r="16" spans="1:49" s="82" customFormat="1" ht="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34.957107481504259</v>
      </c>
      <c r="AS22" s="8">
        <f>Totex!AS75</f>
        <v>47.99929493498297</v>
      </c>
      <c r="AT22" s="8">
        <f>Totex!AT75</f>
        <v>73.966310388669939</v>
      </c>
      <c r="AU22" s="8">
        <f>Totex!AU75</f>
        <v>78.830803350580737</v>
      </c>
      <c r="AV22" s="8">
        <f>Totex!AV75</f>
        <v>88.50386602970589</v>
      </c>
      <c r="AW22" s="2"/>
    </row>
    <row r="23" spans="1:49" s="82" customFormat="1" ht="16">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65.511584641242322</v>
      </c>
      <c r="AS23" s="8">
        <f>Totex!AS76</f>
        <v>89.680324569573784</v>
      </c>
      <c r="AT23" s="8">
        <f>Totex!AT76</f>
        <v>97.740493985937889</v>
      </c>
      <c r="AU23" s="8">
        <f>Totex!AU76</f>
        <v>87.01282434635138</v>
      </c>
      <c r="AV23" s="8">
        <f>Totex!AV76</f>
        <v>78.985327244683305</v>
      </c>
      <c r="AW23" s="2"/>
    </row>
    <row r="24" spans="1:49" s="82" customFormat="1" ht="16">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25.695575886312167</v>
      </c>
      <c r="AS24" s="8">
        <f>Totex!AS77</f>
        <v>36.966884854386045</v>
      </c>
      <c r="AT24" s="8">
        <f>Totex!AT77</f>
        <v>42.919480246683548</v>
      </c>
      <c r="AU24" s="8">
        <f>Totex!AU77</f>
        <v>63.468051169262864</v>
      </c>
      <c r="AV24" s="8">
        <f>Totex!AV77</f>
        <v>62.131321365210809</v>
      </c>
      <c r="AW24" s="2"/>
    </row>
    <row r="25" spans="1:49" s="82" customFormat="1" ht="16">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25.181093346116146</v>
      </c>
      <c r="AS25" s="8">
        <f>Totex!AS78</f>
        <v>37.444352844239731</v>
      </c>
      <c r="AT25" s="8">
        <f>Totex!AT78</f>
        <v>23.968266934420384</v>
      </c>
      <c r="AU25" s="8">
        <f>Totex!AU78</f>
        <v>23.817107270928545</v>
      </c>
      <c r="AV25" s="8">
        <f>Totex!AV78</f>
        <v>23.615532175399203</v>
      </c>
      <c r="AW25" s="2"/>
    </row>
    <row r="26" spans="1:49" s="82" customFormat="1" ht="16">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4.4841398367760021</v>
      </c>
      <c r="AS26" s="8">
        <f>Totex!AS79</f>
        <v>6.1282418038414797</v>
      </c>
      <c r="AT26" s="8">
        <f>Totex!AT79</f>
        <v>3.9415675227154185</v>
      </c>
      <c r="AU26" s="8">
        <f>Totex!AU79</f>
        <v>3.9472145737929156</v>
      </c>
      <c r="AV26" s="8">
        <f>Totex!AV79</f>
        <v>3.9502466302869239</v>
      </c>
      <c r="AW26" s="2"/>
    </row>
    <row r="27" spans="1:49" s="82" customFormat="1" ht="16">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18.358374762784134</v>
      </c>
      <c r="AS27" s="8">
        <f>Totex!AS80</f>
        <v>13.064714582301995</v>
      </c>
      <c r="AT27" s="8">
        <f>Totex!AT80</f>
        <v>18.174938098241526</v>
      </c>
      <c r="AU27" s="8">
        <f>Totex!AU80</f>
        <v>17.324673414570764</v>
      </c>
      <c r="AV27" s="8">
        <f>Totex!AV80</f>
        <v>17.549235675543112</v>
      </c>
      <c r="AW27" s="2"/>
    </row>
    <row r="28" spans="1:49" s="82" customFormat="1" ht="16">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90.180273290682564</v>
      </c>
      <c r="AS28" s="8">
        <f>Totex!AS81</f>
        <v>99.638480514271393</v>
      </c>
      <c r="AT28" s="8">
        <f>Totex!AT81</f>
        <v>111.74184577802872</v>
      </c>
      <c r="AU28" s="8">
        <f>Totex!AU81</f>
        <v>103.25745746324677</v>
      </c>
      <c r="AV28" s="8">
        <f>Totex!AV81</f>
        <v>100.4098535490651</v>
      </c>
      <c r="AW28" s="2"/>
    </row>
    <row r="29" spans="1:49" s="82" customFormat="1" ht="16">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2"/>
      <c r="AR29" s="431">
        <f t="shared" ref="AR29:AV29" si="0">SUM(AR22:AR28)</f>
        <v>264.36814924541761</v>
      </c>
      <c r="AS29" s="431">
        <f t="shared" si="0"/>
        <v>330.92229410359738</v>
      </c>
      <c r="AT29" s="431">
        <f t="shared" si="0"/>
        <v>372.45290295469744</v>
      </c>
      <c r="AU29" s="431">
        <f t="shared" si="0"/>
        <v>377.65813158873402</v>
      </c>
      <c r="AV29" s="431">
        <f t="shared" si="0"/>
        <v>375.14538266989439</v>
      </c>
      <c r="AW29" s="2"/>
    </row>
    <row r="30" spans="1:49" s="82" customFormat="1" ht="16">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99.956736396618226</v>
      </c>
      <c r="AS33" s="8">
        <f>InputSummary!AS97</f>
        <v>52.765733669400298</v>
      </c>
      <c r="AT33" s="8">
        <f>InputSummary!AT97</f>
        <v>53.012204504069928</v>
      </c>
      <c r="AU33" s="8">
        <f>InputSummary!AU97</f>
        <v>53.211202321842094</v>
      </c>
      <c r="AV33" s="8">
        <f>InputSummary!AV97</f>
        <v>68.016212389135134</v>
      </c>
      <c r="AW33" s="2"/>
    </row>
    <row r="34" spans="1:49" s="82" customFormat="1" ht="16">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1.1249505440468082</v>
      </c>
      <c r="AS34" s="8">
        <f>InputSummary!AS124 * (-1)</f>
        <v>1.0289346773130768</v>
      </c>
      <c r="AT34" s="8">
        <f>InputSummary!AT124 * (-1)</f>
        <v>5.4391886499919204</v>
      </c>
      <c r="AU34" s="8">
        <f>InputSummary!AU124 * (-1)</f>
        <v>0</v>
      </c>
      <c r="AV34" s="8">
        <f>InputSummary!AV124 * (-1)</f>
        <v>0</v>
      </c>
      <c r="AW34" s="2"/>
    </row>
    <row r="35" spans="1:49" s="82" customFormat="1" ht="16">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
      <c r="E38" s="82" t="s">
        <v>947</v>
      </c>
      <c r="G38" s="7" t="s">
        <v>206</v>
      </c>
      <c r="AJ38" s="193"/>
      <c r="AK38" s="193"/>
      <c r="AL38" s="193"/>
      <c r="AM38" s="193"/>
      <c r="AN38" s="193"/>
      <c r="AO38" s="193"/>
      <c r="AP38" s="193"/>
      <c r="AQ38" s="187"/>
      <c r="AR38" s="49">
        <f>SUMPRODUCT(AR$22:AR$28,InputSummary!AR435:AR441)/SUM(Totex!AR$75:AR$81)</f>
        <v>7.8906555127928199E-2</v>
      </c>
      <c r="AS38" s="49">
        <f>SUMPRODUCT(AS$22:AS$28,InputSummary!AS435:AS441)/SUM(Totex!AS$75:AS$81)</f>
        <v>9.7019147366351879E-2</v>
      </c>
      <c r="AT38" s="49">
        <f>SUMPRODUCT(AT$22:AT$28,InputSummary!AT435:AT441)/SUM(Totex!AT$75:AT$81)</f>
        <v>9.5698954834259595E-2</v>
      </c>
      <c r="AU38" s="49">
        <f>SUMPRODUCT(AU$22:AU$28,InputSummary!AU435:AU441)/SUM(Totex!AU$75:AU$81)</f>
        <v>0.14166944932538025</v>
      </c>
      <c r="AV38" s="49">
        <f>SUMPRODUCT(AV$22:AV$28,InputSummary!AV435:AV441)/SUM(Totex!AV$75:AV$81)</f>
        <v>0.13496742034866785</v>
      </c>
    </row>
    <row r="39" spans="1:49" s="82" customFormat="1" ht="16">
      <c r="E39" s="82" t="s">
        <v>948</v>
      </c>
      <c r="G39" s="7" t="s">
        <v>206</v>
      </c>
      <c r="AJ39" s="193"/>
      <c r="AK39" s="193"/>
      <c r="AL39" s="193"/>
      <c r="AM39" s="193"/>
      <c r="AN39" s="193"/>
      <c r="AO39" s="193"/>
      <c r="AP39" s="193"/>
      <c r="AQ39" s="187"/>
      <c r="AR39" s="49">
        <f>SUMPRODUCT(AR$22:AR$28,InputSummary!AR442:AR448)/SUM(Totex!AR$75:AR$81)</f>
        <v>0.5526855058999226</v>
      </c>
      <c r="AS39" s="49">
        <f>SUMPRODUCT(AS$22:AS$28,InputSummary!AS442:AS448)/SUM(Totex!AS$75:AS$81)</f>
        <v>0.59517078988727745</v>
      </c>
      <c r="AT39" s="49">
        <f>SUMPRODUCT(AT$22:AT$28,InputSummary!AT442:AT448)/SUM(Totex!AT$75:AT$81)</f>
        <v>0.60364327997104883</v>
      </c>
      <c r="AU39" s="49">
        <f>SUMPRODUCT(AU$22:AU$28,InputSummary!AU442:AU448)/SUM(Totex!AU$75:AU$81)</f>
        <v>0.57865790028617292</v>
      </c>
      <c r="AV39" s="49">
        <f>SUMPRODUCT(AV$22:AV$28,InputSummary!AV442:AV448)/SUM(Totex!AV$75:AV$81)</f>
        <v>0.58506692948502959</v>
      </c>
    </row>
    <row r="40" spans="1:49" s="82" customFormat="1" ht="16">
      <c r="E40" s="82" t="s">
        <v>949</v>
      </c>
      <c r="G40" s="7" t="s">
        <v>206</v>
      </c>
      <c r="AJ40" s="193"/>
      <c r="AK40" s="193"/>
      <c r="AL40" s="193"/>
      <c r="AM40" s="193"/>
      <c r="AN40" s="193"/>
      <c r="AO40" s="193"/>
      <c r="AP40" s="193"/>
      <c r="AQ40" s="187"/>
      <c r="AR40" s="49">
        <f>SUMPRODUCT(AR$22:AR$28,InputSummary!AR449:AR455)/SUM(Totex!AR$75:AR$81)</f>
        <v>0</v>
      </c>
      <c r="AS40" s="49">
        <f>SUMPRODUCT(AS$22:AS$28,InputSummary!AS449:AS455)/SUM(Totex!AS$75:AS$81)</f>
        <v>0</v>
      </c>
      <c r="AT40" s="49">
        <f>SUMPRODUCT(AT$22:AT$28,InputSummary!AT449:AT455)/SUM(Totex!AT$75:AT$81)</f>
        <v>0</v>
      </c>
      <c r="AU40" s="49">
        <f>SUMPRODUCT(AU$22:AU$28,InputSummary!AU449:AU455)/SUM(Totex!AU$75:AU$81)</f>
        <v>0</v>
      </c>
      <c r="AV40" s="49">
        <f>SUMPRODUCT(AV$22:AV$28,InputSummary!AV449:AV455)/SUM(Totex!AV$75:AV$81)</f>
        <v>0</v>
      </c>
    </row>
    <row r="41" spans="1:49" s="82" customFormat="1" ht="16">
      <c r="E41" s="82" t="s">
        <v>950</v>
      </c>
      <c r="G41" s="7" t="s">
        <v>206</v>
      </c>
      <c r="AJ41" s="193"/>
      <c r="AK41" s="193"/>
      <c r="AL41" s="193"/>
      <c r="AM41" s="193"/>
      <c r="AN41" s="193"/>
      <c r="AO41" s="193"/>
      <c r="AP41" s="193"/>
      <c r="AQ41" s="187"/>
      <c r="AR41" s="49">
        <f>SUMPRODUCT(AR$22:AR$28,InputSummary!AR456:AR462)/SUM(Totex!AR$75:AR$81)</f>
        <v>1.6927965401924958E-2</v>
      </c>
      <c r="AS41" s="49">
        <f>SUMPRODUCT(AS$22:AS$28,InputSummary!AS456:AS462)/SUM(Totex!AS$75:AS$81)</f>
        <v>1.2218962396241373E-2</v>
      </c>
      <c r="AT41" s="49">
        <f>SUMPRODUCT(AT$22:AT$28,InputSummary!AT456:AT462)/SUM(Totex!AT$75:AT$81)</f>
        <v>9.9869354857655569E-3</v>
      </c>
      <c r="AU41" s="49">
        <f>SUMPRODUCT(AU$22:AU$28,InputSummary!AU456:AU462)/SUM(Totex!AU$75:AU$81)</f>
        <v>9.5359899884356041E-3</v>
      </c>
      <c r="AV41" s="49">
        <f>SUMPRODUCT(AV$22:AV$28,InputSummary!AV456:AV462)/SUM(Totex!AV$75:AV$81)</f>
        <v>9.410534090195254E-3</v>
      </c>
    </row>
    <row r="42" spans="1:49" s="82" customFormat="1" ht="16">
      <c r="E42" s="82" t="s">
        <v>951</v>
      </c>
      <c r="G42" s="7" t="s">
        <v>206</v>
      </c>
      <c r="AJ42" s="193"/>
      <c r="AK42" s="193"/>
      <c r="AL42" s="193"/>
      <c r="AM42" s="193"/>
      <c r="AN42" s="193"/>
      <c r="AO42" s="193"/>
      <c r="AP42" s="193"/>
      <c r="AQ42" s="187"/>
      <c r="AR42" s="49">
        <f>SUMPRODUCT(AR$22:AR$28,InputSummary!AR463:AR469)/SUM(Totex!AR$75:AR$81)</f>
        <v>0.34971277389840394</v>
      </c>
      <c r="AS42" s="49">
        <f>SUMPRODUCT(AS$22:AS$28,InputSummary!AS463:AS469)/SUM(Totex!AS$75:AS$81)</f>
        <v>0.29420610751188364</v>
      </c>
      <c r="AT42" s="49">
        <f>SUMPRODUCT(AT$22:AT$28,InputSummary!AT463:AT469)/SUM(Totex!AT$75:AT$81)</f>
        <v>0.28985129010891308</v>
      </c>
      <c r="AU42" s="49">
        <f>SUMPRODUCT(AU$22:AU$28,InputSummary!AU463:AU469)/SUM(Totex!AU$75:AU$81)</f>
        <v>0.26912169412037873</v>
      </c>
      <c r="AV42" s="49">
        <f>SUMPRODUCT(AV$22:AV$28,InputSummary!AV463:AV469)/SUM(Totex!AV$75:AV$81)</f>
        <v>0.2693258402575705</v>
      </c>
    </row>
    <row r="43" spans="1:49" s="82" customFormat="1" ht="16">
      <c r="E43" s="82" t="s">
        <v>952</v>
      </c>
      <c r="G43" s="7" t="s">
        <v>206</v>
      </c>
      <c r="AJ43" s="193"/>
      <c r="AK43" s="193"/>
      <c r="AL43" s="193"/>
      <c r="AM43" s="193"/>
      <c r="AN43" s="193"/>
      <c r="AO43" s="193"/>
      <c r="AP43" s="193"/>
      <c r="AQ43" s="187"/>
      <c r="AR43" s="49">
        <f>SUMPRODUCT(AR$22:AR$28,InputSummary!AR470:AR476)/SUM(Totex!AR$75:AR$81)</f>
        <v>1.7671996718202731E-3</v>
      </c>
      <c r="AS43" s="49">
        <f>SUMPRODUCT(AS$22:AS$28,InputSummary!AS470:AS476)/SUM(Totex!AS$75:AS$81)</f>
        <v>1.3849928382458005E-3</v>
      </c>
      <c r="AT43" s="49">
        <f>SUMPRODUCT(AT$22:AT$28,InputSummary!AT470:AT476)/SUM(Totex!AT$75:AT$81)</f>
        <v>8.1953960001305496E-4</v>
      </c>
      <c r="AU43" s="49">
        <f>SUMPRODUCT(AU$22:AU$28,InputSummary!AU470:AU476)/SUM(Totex!AU$75:AU$81)</f>
        <v>1.014966279632432E-3</v>
      </c>
      <c r="AV43" s="49">
        <f>SUMPRODUCT(AV$22:AV$28,InputSummary!AV470:AV476)/SUM(Totex!AV$75:AV$81)</f>
        <v>1.2292758185367741E-3</v>
      </c>
    </row>
    <row r="44" spans="1:49" s="82" customFormat="1" ht="16">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
      <c r="AQ45" s="147"/>
    </row>
    <row r="46" spans="1:49" s="82" customFormat="1" ht="16">
      <c r="E46" s="82" t="s">
        <v>953</v>
      </c>
      <c r="G46" s="2" t="s">
        <v>101</v>
      </c>
      <c r="AJ46" s="307"/>
      <c r="AK46" s="307"/>
      <c r="AL46" s="307"/>
      <c r="AM46" s="307"/>
      <c r="AN46" s="307"/>
      <c r="AO46" s="307"/>
      <c r="AP46" s="307"/>
      <c r="AQ46" s="308"/>
      <c r="AR46" s="307">
        <f t="shared" ref="AR46:AV49" si="2">AR38 * AR$29</f>
        <v>20.860379942501893</v>
      </c>
      <c r="AS46" s="307">
        <f t="shared" si="2"/>
        <v>32.10579881844815</v>
      </c>
      <c r="AT46" s="307">
        <f t="shared" si="2"/>
        <v>35.643353537750464</v>
      </c>
      <c r="AU46" s="307">
        <f t="shared" si="2"/>
        <v>53.502619535427939</v>
      </c>
      <c r="AV46" s="307">
        <f t="shared" si="2"/>
        <v>50.632404554669492</v>
      </c>
    </row>
    <row r="47" spans="1:49" s="82" customFormat="1" ht="16">
      <c r="E47" s="82" t="s">
        <v>954</v>
      </c>
      <c r="G47" s="2" t="s">
        <v>101</v>
      </c>
      <c r="AJ47" s="307"/>
      <c r="AK47" s="307"/>
      <c r="AL47" s="307"/>
      <c r="AM47" s="307"/>
      <c r="AN47" s="307"/>
      <c r="AO47" s="307"/>
      <c r="AP47" s="307"/>
      <c r="AQ47" s="308"/>
      <c r="AR47" s="307">
        <f t="shared" si="2"/>
        <v>146.11244430952988</v>
      </c>
      <c r="AS47" s="307">
        <f t="shared" si="2"/>
        <v>196.95528317294799</v>
      </c>
      <c r="AT47" s="307">
        <f t="shared" si="2"/>
        <v>224.82869197431231</v>
      </c>
      <c r="AU47" s="307">
        <f t="shared" si="2"/>
        <v>218.53486145113604</v>
      </c>
      <c r="AV47" s="307">
        <f t="shared" si="2"/>
        <v>219.48515714916155</v>
      </c>
    </row>
    <row r="48" spans="1:49" s="82" customFormat="1" ht="16">
      <c r="E48" s="82" t="s">
        <v>955</v>
      </c>
      <c r="G48" s="2" t="s">
        <v>101</v>
      </c>
      <c r="AJ48" s="307"/>
      <c r="AK48" s="307"/>
      <c r="AL48" s="307"/>
      <c r="AM48" s="307"/>
      <c r="AN48" s="307"/>
      <c r="AO48" s="307"/>
      <c r="AP48" s="307"/>
      <c r="AQ48" s="308"/>
      <c r="AR48" s="307">
        <f t="shared" si="2"/>
        <v>0</v>
      </c>
      <c r="AS48" s="307">
        <f t="shared" si="2"/>
        <v>0</v>
      </c>
      <c r="AT48" s="307">
        <f t="shared" si="2"/>
        <v>0</v>
      </c>
      <c r="AU48" s="307">
        <f t="shared" si="2"/>
        <v>0</v>
      </c>
      <c r="AV48" s="307">
        <f t="shared" si="2"/>
        <v>0</v>
      </c>
    </row>
    <row r="49" spans="1:49" s="82" customFormat="1" ht="16">
      <c r="E49" s="82" t="s">
        <v>956</v>
      </c>
      <c r="G49" s="2" t="s">
        <v>101</v>
      </c>
      <c r="AJ49" s="307"/>
      <c r="AK49" s="307"/>
      <c r="AL49" s="307"/>
      <c r="AM49" s="307"/>
      <c r="AN49" s="307"/>
      <c r="AO49" s="307"/>
      <c r="AP49" s="307"/>
      <c r="AQ49" s="308"/>
      <c r="AR49" s="307">
        <f t="shared" si="2"/>
        <v>4.4752148837973635</v>
      </c>
      <c r="AS49" s="307">
        <f t="shared" si="2"/>
        <v>4.0435270677297845</v>
      </c>
      <c r="AT49" s="307">
        <f t="shared" si="2"/>
        <v>3.7196631132946631</v>
      </c>
      <c r="AU49" s="307">
        <f t="shared" si="2"/>
        <v>3.6013441618814634</v>
      </c>
      <c r="AV49" s="307">
        <f t="shared" si="2"/>
        <v>3.5303184123943852</v>
      </c>
    </row>
    <row r="50" spans="1:49" s="82" customFormat="1" ht="16">
      <c r="E50" s="82" t="s">
        <v>957</v>
      </c>
      <c r="G50" s="2" t="s">
        <v>101</v>
      </c>
      <c r="AJ50" s="307"/>
      <c r="AK50" s="307"/>
      <c r="AL50" s="307"/>
      <c r="AM50" s="307"/>
      <c r="AN50" s="307"/>
      <c r="AO50" s="307"/>
      <c r="AP50" s="307"/>
      <c r="AQ50" s="308"/>
      <c r="AR50" s="307">
        <f>AR42 * AR$29 + AR33 + AR34</f>
        <v>193.53460574366727</v>
      </c>
      <c r="AS50" s="307">
        <f t="shared" ref="AS50:AV50" si="3">AS42 * AS$29 + AS33 + AS34</f>
        <v>151.15402838383554</v>
      </c>
      <c r="AT50" s="307">
        <f t="shared" si="3"/>
        <v>166.40734758029072</v>
      </c>
      <c r="AU50" s="307">
        <f t="shared" si="3"/>
        <v>154.84719849333911</v>
      </c>
      <c r="AV50" s="307">
        <f t="shared" si="3"/>
        <v>169.05255779545229</v>
      </c>
    </row>
    <row r="51" spans="1:49" s="82" customFormat="1" ht="16">
      <c r="E51" s="82" t="s">
        <v>958</v>
      </c>
      <c r="G51" s="2" t="s">
        <v>101</v>
      </c>
      <c r="AJ51" s="307"/>
      <c r="AK51" s="307"/>
      <c r="AL51" s="307"/>
      <c r="AM51" s="307"/>
      <c r="AN51" s="307"/>
      <c r="AO51" s="307"/>
      <c r="AP51" s="307"/>
      <c r="AQ51" s="308"/>
      <c r="AR51" s="307">
        <f>AR43 * AR$29</f>
        <v>0.46719130658623498</v>
      </c>
      <c r="AS51" s="307">
        <f>AS43 * AS$29</f>
        <v>0.45832500734935289</v>
      </c>
      <c r="AT51" s="307">
        <f>AT43 * AT$29</f>
        <v>0.30523990311119392</v>
      </c>
      <c r="AU51" s="307">
        <f>AU43 * AU$29</f>
        <v>0.38331026879155278</v>
      </c>
      <c r="AV51" s="307">
        <f>AV43 * AV$29</f>
        <v>0.46115714735182578</v>
      </c>
    </row>
    <row r="52" spans="1:49" s="82" customFormat="1" ht="16">
      <c r="AQ52" s="147"/>
    </row>
    <row r="53" spans="1:49" s="82" customFormat="1" ht="16">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
      <c r="AQ56" s="147"/>
    </row>
    <row r="57" spans="1:49" s="21" customFormat="1" ht="16">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0.14000000000000001</v>
      </c>
      <c r="AV59" s="132">
        <f>InputSummary!AV264</f>
        <v>0.14000000000000001</v>
      </c>
      <c r="AW59" s="7"/>
    </row>
    <row r="60" spans="1:49" s="21" customFormat="1" ht="16">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50.899217296015387</v>
      </c>
      <c r="AS61" s="79">
        <f>InputSummary!AS271</f>
        <v>0</v>
      </c>
      <c r="AT61" s="79">
        <f>InputSummary!AT271</f>
        <v>0</v>
      </c>
      <c r="AU61" s="79">
        <f>InputSummary!AU271</f>
        <v>0</v>
      </c>
      <c r="AV61" s="79">
        <f>InputSummary!AV271</f>
        <v>0</v>
      </c>
    </row>
    <row r="62" spans="1:49" s="21" customFormat="1" ht="16">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50.899217296015387</v>
      </c>
      <c r="AS63" s="7">
        <f>AR68 + AS61</f>
        <v>63.643064066571405</v>
      </c>
      <c r="AT63" s="7">
        <f>AS68 + AT61</f>
        <v>69.023143312611538</v>
      </c>
      <c r="AU63" s="7">
        <f>AT68 + AU61</f>
        <v>68.23404040494259</v>
      </c>
      <c r="AV63" s="7">
        <f>AU68 + AV61</f>
        <v>88.859368622856323</v>
      </c>
      <c r="AW63" s="7"/>
    </row>
    <row r="64" spans="1:49" s="21" customFormat="1" ht="16">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-21.905705883838785</v>
      </c>
      <c r="AT64" s="7">
        <f>SelectedInputs!AT282</f>
        <v>-34.798509602770793</v>
      </c>
      <c r="AU64" s="7">
        <f>SelectedInputs!AU282</f>
        <v>-40.169840762873172</v>
      </c>
      <c r="AV64" s="7">
        <f>SelectedInputs!AV282</f>
        <v>-64.724156930676628</v>
      </c>
      <c r="AW64" s="7"/>
    </row>
    <row r="65" spans="1:49" s="21" customFormat="1" ht="16">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26.71427546809608</v>
      </c>
      <c r="AS65" s="7">
        <f>AS$46 * AS$15</f>
        <v>42.437206832647306</v>
      </c>
      <c r="AT65" s="7">
        <f>AT$46 * AT$15</f>
        <v>48.987610686430692</v>
      </c>
      <c r="AU65" s="7">
        <f>AU$46 * AU$15</f>
        <v>75.260647593810035</v>
      </c>
      <c r="AV65" s="7">
        <f>AV$46 * AV$15</f>
        <v>72.669764461171411</v>
      </c>
      <c r="AW65" s="7"/>
    </row>
    <row r="66" spans="1:49" s="21" customFormat="1" ht="16">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2"/>
      <c r="AR66" s="431">
        <f>SUM(AR63:AR65)</f>
        <v>77.61349276411147</v>
      </c>
      <c r="AS66" s="431">
        <f>SUM(AS63:AS65)</f>
        <v>84.174565015379926</v>
      </c>
      <c r="AT66" s="431">
        <f>SUM(AT63:AT65)</f>
        <v>83.212244396271444</v>
      </c>
      <c r="AU66" s="431">
        <f>SUM(AU63:AU65)</f>
        <v>103.32484723587945</v>
      </c>
      <c r="AV66" s="431">
        <f>SUM(AV63:AV65)</f>
        <v>96.804976153351106</v>
      </c>
      <c r="AW66" s="7"/>
    </row>
    <row r="67" spans="1:49" s="21" customFormat="1" ht="16">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-13.970428697540065</v>
      </c>
      <c r="AS67" s="7">
        <f>-AS66 * AS59</f>
        <v>-15.151421702768387</v>
      </c>
      <c r="AT67" s="7">
        <f>-AT66 * AT59</f>
        <v>-14.97820399132886</v>
      </c>
      <c r="AU67" s="7">
        <f>-AU66 * AU59</f>
        <v>-14.465478613023123</v>
      </c>
      <c r="AV67" s="7">
        <f>-AV66 * AV59</f>
        <v>-13.552696661469156</v>
      </c>
      <c r="AW67" s="7"/>
    </row>
    <row r="68" spans="1:49" s="21" customFormat="1" ht="16">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63.643064066571405</v>
      </c>
      <c r="AS68" s="461">
        <f t="shared" si="4"/>
        <v>69.023143312611538</v>
      </c>
      <c r="AT68" s="461">
        <f t="shared" si="4"/>
        <v>68.23404040494259</v>
      </c>
      <c r="AU68" s="461">
        <f t="shared" si="4"/>
        <v>88.859368622856323</v>
      </c>
      <c r="AV68" s="461">
        <f t="shared" si="4"/>
        <v>83.25227949188195</v>
      </c>
      <c r="AW68" s="7"/>
    </row>
    <row r="69" spans="1:49" s="21" customFormat="1" ht="16">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6">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1406.2597625255362</v>
      </c>
      <c r="AS74" s="79">
        <f>InputSummary!AS272</f>
        <v>0</v>
      </c>
      <c r="AT74" s="79">
        <f>InputSummary!AT272</f>
        <v>0</v>
      </c>
      <c r="AU74" s="79">
        <f>InputSummary!AU272</f>
        <v>0</v>
      </c>
      <c r="AV74" s="79">
        <f>InputSummary!AV272</f>
        <v>0</v>
      </c>
    </row>
    <row r="75" spans="1:49" s="21" customFormat="1" ht="16">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1406.2597625255362</v>
      </c>
      <c r="AS76" s="7">
        <f>AR81 + AS74</f>
        <v>1497.7721908714825</v>
      </c>
      <c r="AT76" s="7">
        <f>AS81 + AT74</f>
        <v>1575.2291242275128</v>
      </c>
      <c r="AU76" s="7">
        <f>AT81 + AU74</f>
        <v>1663.5018586876281</v>
      </c>
      <c r="AV76" s="7">
        <f>AU81 + AV74</f>
        <v>1724.8515661926272</v>
      </c>
      <c r="AW76" s="7"/>
    </row>
    <row r="77" spans="1:49" s="21" customFormat="1" ht="16">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-82.330559790308968</v>
      </c>
      <c r="AT77" s="7">
        <f>SelectedInputs!AT283</f>
        <v>-114.54697451588544</v>
      </c>
      <c r="AU77" s="7">
        <f>SelectedInputs!AU283</f>
        <v>-135.96029861896525</v>
      </c>
      <c r="AV77" s="7">
        <f>SelectedInputs!AV283</f>
        <v>-135.2590424259117</v>
      </c>
      <c r="AW77" s="7"/>
    </row>
    <row r="78" spans="1:49" s="21" customFormat="1" ht="16">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187.11490861433884</v>
      </c>
      <c r="AS78" s="7">
        <f>AS$47 * AS$15</f>
        <v>260.33403299064878</v>
      </c>
      <c r="AT78" s="7">
        <f>AT$47 * AT$15</f>
        <v>309.00067867946649</v>
      </c>
      <c r="AU78" s="7">
        <f>AU$47 * AU$15</f>
        <v>307.40691460434488</v>
      </c>
      <c r="AV78" s="7">
        <f>AV$47 * AV$15</f>
        <v>315.01436309490475</v>
      </c>
      <c r="AW78" s="7"/>
    </row>
    <row r="79" spans="1:49" s="21" customFormat="1" ht="16">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2"/>
      <c r="AR79" s="431">
        <f>SUM(AR76:AR78)</f>
        <v>1593.3746711398751</v>
      </c>
      <c r="AS79" s="431">
        <f>SUM(AS76:AS78)</f>
        <v>1675.7756640718221</v>
      </c>
      <c r="AT79" s="431">
        <f>SUM(AT76:AT78)</f>
        <v>1769.6828283910938</v>
      </c>
      <c r="AU79" s="431">
        <f>SUM(AU76:AU78)</f>
        <v>1834.9484746730077</v>
      </c>
      <c r="AV79" s="431">
        <f>SUM(AV76:AV78)</f>
        <v>1904.6068868616203</v>
      </c>
      <c r="AW79" s="7"/>
    </row>
    <row r="80" spans="1:49" s="21" customFormat="1" ht="16">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-95.602480268392497</v>
      </c>
      <c r="AS80" s="7">
        <f>-AS79 * AS72</f>
        <v>-100.54653984430932</v>
      </c>
      <c r="AT80" s="7">
        <f>-AT79 * AT72</f>
        <v>-106.18096970346562</v>
      </c>
      <c r="AU80" s="7">
        <f>-AU79 * AU72</f>
        <v>-110.09690848038046</v>
      </c>
      <c r="AV80" s="7">
        <f>-AV79 * AV72</f>
        <v>-114.27641321169722</v>
      </c>
      <c r="AW80" s="7"/>
    </row>
    <row r="81" spans="1:49" s="21" customFormat="1" ht="16">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1497.7721908714825</v>
      </c>
      <c r="AS81" s="461">
        <f t="shared" si="5"/>
        <v>1575.2291242275128</v>
      </c>
      <c r="AT81" s="461">
        <f t="shared" si="5"/>
        <v>1663.5018586876281</v>
      </c>
      <c r="AU81" s="461">
        <f t="shared" si="5"/>
        <v>1724.8515661926272</v>
      </c>
      <c r="AV81" s="461">
        <f t="shared" si="5"/>
        <v>1790.3304736499231</v>
      </c>
      <c r="AW81" s="7"/>
    </row>
    <row r="82" spans="1:49" s="21" customFormat="1" ht="16">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6">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0</v>
      </c>
      <c r="AS87" s="79">
        <f>InputSummary!AS273</f>
        <v>0</v>
      </c>
      <c r="AT87" s="79">
        <f>InputSummary!AT273</f>
        <v>0</v>
      </c>
      <c r="AU87" s="79">
        <f>InputSummary!AU273</f>
        <v>0</v>
      </c>
      <c r="AV87" s="79">
        <f>InputSummary!AV273</f>
        <v>0</v>
      </c>
    </row>
    <row r="88" spans="1:49" s="72" customFormat="1" ht="16">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0</v>
      </c>
      <c r="AR88" s="79">
        <f>InputSummary!AR274</f>
        <v>0</v>
      </c>
      <c r="AS88" s="79">
        <f>InputSummary!AS274</f>
        <v>0</v>
      </c>
      <c r="AT88" s="79">
        <f>InputSummary!AT274</f>
        <v>0</v>
      </c>
      <c r="AU88" s="79">
        <f>InputSummary!AU274</f>
        <v>0</v>
      </c>
      <c r="AV88" s="79">
        <f>InputSummary!AV274</f>
        <v>0</v>
      </c>
    </row>
    <row r="89" spans="1:49" s="21" customFormat="1" ht="16">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0</v>
      </c>
      <c r="AS90" s="7">
        <f>AR94 + AS87</f>
        <v>0</v>
      </c>
      <c r="AT90" s="7">
        <f>AS94 + AT87</f>
        <v>0</v>
      </c>
      <c r="AU90" s="7">
        <f>AT94 + AU87</f>
        <v>0</v>
      </c>
      <c r="AV90" s="7">
        <f>AU94 + AV87</f>
        <v>0</v>
      </c>
      <c r="AW90" s="7"/>
    </row>
    <row r="91" spans="1:49" s="21" customFormat="1" ht="16">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0</v>
      </c>
      <c r="AS91" s="7">
        <f>AS$48 * AS$15</f>
        <v>0</v>
      </c>
      <c r="AT91" s="7">
        <f>AT$48 * AT$15</f>
        <v>0</v>
      </c>
      <c r="AU91" s="7">
        <f>AU$48 * AU$15</f>
        <v>0</v>
      </c>
      <c r="AV91" s="7">
        <f>AV$48 * AV$15</f>
        <v>0</v>
      </c>
      <c r="AW91" s="7"/>
    </row>
    <row r="92" spans="1:49" s="21" customFormat="1" ht="16">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2"/>
      <c r="AR92" s="431">
        <f>SUM(AR90:AR91)</f>
        <v>0</v>
      </c>
      <c r="AS92" s="431">
        <f>SUM(AS90:AS91)</f>
        <v>0</v>
      </c>
      <c r="AT92" s="431">
        <f>SUM(AT90:AT91)</f>
        <v>0</v>
      </c>
      <c r="AU92" s="431">
        <f>SUM(AU90:AU91)</f>
        <v>0</v>
      </c>
      <c r="AV92" s="431">
        <f>SUM(AV90:AV91)</f>
        <v>0</v>
      </c>
      <c r="AW92" s="7"/>
    </row>
    <row r="93" spans="1:49" s="21" customFormat="1" ht="16">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0</v>
      </c>
      <c r="AS93" s="7">
        <f>-(SUM($AJ91:AS91,$AJ88:AS88))*AS85</f>
        <v>0</v>
      </c>
      <c r="AT93" s="7">
        <f>-(SUM($AJ91:AT91,$AJ88:AT88))*AT85</f>
        <v>0</v>
      </c>
      <c r="AU93" s="7">
        <f>-(SUM($AJ91:AU91,$AJ88:AU88))*AU85</f>
        <v>0</v>
      </c>
      <c r="AV93" s="7">
        <f>-(SUM($AJ91:AV91,$AJ88:AV88))*AV85</f>
        <v>0</v>
      </c>
      <c r="AW93" s="7"/>
    </row>
    <row r="94" spans="1:49" s="21" customFormat="1" ht="16">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0</v>
      </c>
      <c r="AS94" s="461">
        <f t="shared" si="6"/>
        <v>0</v>
      </c>
      <c r="AT94" s="461">
        <f t="shared" si="6"/>
        <v>0</v>
      </c>
      <c r="AU94" s="461">
        <f t="shared" si="6"/>
        <v>0</v>
      </c>
      <c r="AV94" s="461">
        <f t="shared" si="6"/>
        <v>0</v>
      </c>
      <c r="AW94" s="7"/>
    </row>
    <row r="95" spans="1:49" s="21" customFormat="1" ht="16">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6">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5.7310616352248402</v>
      </c>
      <c r="AT100" s="7">
        <f>InputSummary!AT275 + AS104</f>
        <v>10.903833883923072</v>
      </c>
      <c r="AU100" s="7">
        <f>InputSummary!AU275 + AT104</f>
        <v>15.683801775739218</v>
      </c>
      <c r="AV100" s="7">
        <f>InputSummary!AV275 + AU104</f>
        <v>20.264072297439043</v>
      </c>
      <c r="AW100" s="7"/>
    </row>
    <row r="101" spans="1:49" s="21" customFormat="1" ht="16">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5.7310616352248402</v>
      </c>
      <c r="AS101" s="7">
        <f>AS$49 * AS$15</f>
        <v>5.3447040977549776</v>
      </c>
      <c r="AT101" s="7">
        <f>AT$49 * AT$15</f>
        <v>5.1122408638055408</v>
      </c>
      <c r="AU101" s="7">
        <f>AU$49 * AU$15</f>
        <v>5.0659107196033863</v>
      </c>
      <c r="AV101" s="7">
        <f>AV$49 * AV$15</f>
        <v>5.0668620176755343</v>
      </c>
      <c r="AW101" s="7"/>
    </row>
    <row r="102" spans="1:49" s="21" customFormat="1" ht="16">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2"/>
      <c r="AR102" s="431">
        <f>SUM(AR100:AR101)</f>
        <v>5.7310616352248402</v>
      </c>
      <c r="AS102" s="431">
        <f>SUM(AS100:AS101)</f>
        <v>11.075765732979818</v>
      </c>
      <c r="AT102" s="431">
        <f>SUM(AT100:AT101)</f>
        <v>16.016074747728613</v>
      </c>
      <c r="AU102" s="431">
        <f>SUM(AU100:AU101)</f>
        <v>20.749712495342603</v>
      </c>
      <c r="AV102" s="431">
        <f>SUM(AV100:AV101)</f>
        <v>25.330934315114575</v>
      </c>
      <c r="AW102" s="7"/>
    </row>
    <row r="103" spans="1:49" s="21" customFormat="1" ht="16">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-0.17193184905674519</v>
      </c>
      <c r="AT103" s="7">
        <f>-(SUM($AI101:AS101))*AT98</f>
        <v>-0.33227297198939454</v>
      </c>
      <c r="AU103" s="7">
        <f>-(SUM($AI101:AT101))*AU98</f>
        <v>-0.48564019790356067</v>
      </c>
      <c r="AV103" s="7">
        <f>-(SUM($AI101:AU101))*AV98</f>
        <v>-0.63761751949166234</v>
      </c>
      <c r="AW103" s="7"/>
    </row>
    <row r="104" spans="1:49" s="21" customFormat="1" ht="16">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5.7310616352248402</v>
      </c>
      <c r="AS104" s="461">
        <f t="shared" si="7"/>
        <v>10.903833883923072</v>
      </c>
      <c r="AT104" s="461">
        <f t="shared" si="7"/>
        <v>15.683801775739218</v>
      </c>
      <c r="AU104" s="461">
        <f t="shared" si="7"/>
        <v>20.264072297439043</v>
      </c>
      <c r="AV104" s="461">
        <f t="shared" si="7"/>
        <v>24.693316795622913</v>
      </c>
      <c r="AW104" s="7"/>
    </row>
    <row r="105" spans="1:49" s="21" customFormat="1" ht="16">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13.970428697540065</v>
      </c>
      <c r="AS108" s="7">
        <f>- AS67</f>
        <v>15.151421702768387</v>
      </c>
      <c r="AT108" s="7">
        <f>- AT67</f>
        <v>14.97820399132886</v>
      </c>
      <c r="AU108" s="7">
        <f>- AU67</f>
        <v>14.465478613023123</v>
      </c>
      <c r="AV108" s="7">
        <f>- AV67</f>
        <v>13.552696661469156</v>
      </c>
      <c r="AW108" s="7"/>
    </row>
    <row r="109" spans="1:49" s="21" customFormat="1" ht="16">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95.602480268392497</v>
      </c>
      <c r="AS109" s="7">
        <f>-AS80</f>
        <v>100.54653984430932</v>
      </c>
      <c r="AT109" s="7">
        <f>-AT80</f>
        <v>106.18096970346562</v>
      </c>
      <c r="AU109" s="7">
        <f>-AU80</f>
        <v>110.09690848038046</v>
      </c>
      <c r="AV109" s="7">
        <f>-AV80</f>
        <v>114.27641321169722</v>
      </c>
      <c r="AW109" s="7"/>
    </row>
    <row r="110" spans="1:49" s="21" customFormat="1" ht="16">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0</v>
      </c>
      <c r="AS110" s="7">
        <f>-AS93</f>
        <v>0</v>
      </c>
      <c r="AT110" s="7">
        <f>-AT93</f>
        <v>0</v>
      </c>
      <c r="AU110" s="7">
        <f>-AU93</f>
        <v>0</v>
      </c>
      <c r="AV110" s="7">
        <f>-AV93</f>
        <v>0</v>
      </c>
      <c r="AW110" s="7"/>
    </row>
    <row r="111" spans="1:49" s="21" customFormat="1" ht="16">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0.17193184905674519</v>
      </c>
      <c r="AT111" s="7">
        <f t="shared" si="8"/>
        <v>0.33227297198939454</v>
      </c>
      <c r="AU111" s="7">
        <f t="shared" si="8"/>
        <v>0.48564019790356067</v>
      </c>
      <c r="AV111" s="7">
        <f t="shared" si="8"/>
        <v>0.63761751949166234</v>
      </c>
      <c r="AW111" s="7"/>
    </row>
    <row r="112" spans="1:49" s="21" customFormat="1" ht="16">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5"/>
      <c r="AK112" s="525"/>
      <c r="AL112" s="525"/>
      <c r="AM112" s="525"/>
      <c r="AN112" s="525"/>
      <c r="AO112" s="525"/>
      <c r="AP112" s="525"/>
      <c r="AQ112" s="530"/>
      <c r="AR112" s="525">
        <f t="shared" ref="AR112:AV112" si="9">SUM(AR108:AR111)</f>
        <v>109.57290896593256</v>
      </c>
      <c r="AS112" s="525">
        <f t="shared" si="9"/>
        <v>115.86989339613446</v>
      </c>
      <c r="AT112" s="525">
        <f t="shared" si="9"/>
        <v>121.49144666678387</v>
      </c>
      <c r="AU112" s="525">
        <f t="shared" si="9"/>
        <v>125.04802729130715</v>
      </c>
      <c r="AV112" s="525">
        <f t="shared" si="9"/>
        <v>128.46672739265804</v>
      </c>
      <c r="AW112" s="7"/>
    </row>
    <row r="113" spans="1:49" s="21" customFormat="1" ht="16">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
      <c r="A115" s="2"/>
      <c r="B115" s="2"/>
      <c r="C115" s="2"/>
      <c r="D115" s="2"/>
      <c r="E115" s="2"/>
      <c r="F115" s="2"/>
      <c r="G115" s="2"/>
      <c r="H115" s="2"/>
      <c r="I115" s="2"/>
    </row>
    <row r="116" spans="1:49" s="82" customFormat="1" ht="16">
      <c r="A116" s="2"/>
      <c r="B116" s="2"/>
      <c r="C116" s="2"/>
      <c r="D116" s="2"/>
      <c r="E116" s="2"/>
      <c r="F116" s="2"/>
      <c r="G116" s="2"/>
      <c r="H116" s="2"/>
      <c r="I116" s="2"/>
    </row>
  </sheetData>
  <conditionalFormatting sqref="AJ11">
    <cfRule type="cellIs" dxfId="75" priority="1" operator="equal">
      <formula>FALSE()</formula>
    </cfRule>
  </conditionalFormatting>
  <conditionalFormatting sqref="AM2">
    <cfRule type="expression" dxfId="74" priority="2">
      <formula>mac_sensitivity=2</formula>
    </cfRule>
    <cfRule type="expression" dxfId="73" priority="3">
      <formula>mac_sensitivity=1</formula>
    </cfRule>
  </conditionalFormatting>
  <conditionalFormatting sqref="AM3">
    <cfRule type="expression" dxfId="72"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104" activePane="bottomRight" state="frozen"/>
      <selection pane="topRight" activeCell="K1" sqref="K1"/>
      <selection pane="bottomLeft" activeCell="A5" sqref="A5"/>
      <selection pane="bottomRight" activeCell="AR105" sqref="AR105"/>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48" width="9.61328125" customWidth="1"/>
    <col min="49" max="49" width="5.84375" customWidth="1"/>
    <col min="50" max="113" width="0" hidden="1" customWidth="1"/>
    <col min="114" max="16384" width="9" hidden="1"/>
  </cols>
  <sheetData>
    <row r="1" spans="1:49" ht="18.5">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1.321792585589326</v>
      </c>
      <c r="AT17" s="92">
        <f>InputSummary!AT$194</f>
        <v>1.3743827621199309</v>
      </c>
      <c r="AU17" s="92">
        <f>InputSummary!AU$194</f>
        <v>1.4066722012363251</v>
      </c>
      <c r="AV17" s="92">
        <f>InputSummary!AV$194</f>
        <v>1.4352422149476913</v>
      </c>
      <c r="AW17" s="82"/>
    </row>
    <row r="18" spans="1:49" ht="16">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-1438.8341910304389</v>
      </c>
      <c r="AT25" s="7">
        <f t="shared" si="0"/>
        <v>-1531.7930468266127</v>
      </c>
      <c r="AU25" s="7">
        <f t="shared" si="0"/>
        <v>-1738.3823731587318</v>
      </c>
      <c r="AV25" s="7">
        <f t="shared" ref="AV25" si="1">AU41</f>
        <v>-1952.2457467170254</v>
      </c>
      <c r="AW25" s="7"/>
    </row>
    <row r="26" spans="1:49" ht="16">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2"/>
      <c r="AR26" s="431">
        <f>-AR55 * AR63 * AR12</f>
        <v>-1405.9952310174501</v>
      </c>
      <c r="AS26" s="431">
        <f>-AS55 * AS63 * AS12</f>
        <v>0</v>
      </c>
      <c r="AT26" s="431">
        <f>-AT55 * AT63 * AT12</f>
        <v>0</v>
      </c>
      <c r="AU26" s="431">
        <f>-AU55 * AU63 * AU12</f>
        <v>0</v>
      </c>
      <c r="AV26" s="431">
        <f>-AV55 * AV63 * AV12</f>
        <v>0</v>
      </c>
      <c r="AW26" s="7"/>
    </row>
    <row r="27" spans="1:49" ht="16">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-1405.9952310174501</v>
      </c>
      <c r="AS28" s="7">
        <f>AS26 * AS12 + AS25 * (1 - AS12) + AS27</f>
        <v>-1438.8341910304389</v>
      </c>
      <c r="AT28" s="7">
        <f>AT26 * AT12 + AT25 * (1 - AT12) + AT27</f>
        <v>-1531.7930468266127</v>
      </c>
      <c r="AU28" s="7">
        <f>AU26 * AU12 + AU25 * (1 - AU12) + AU27</f>
        <v>-1738.3823731587318</v>
      </c>
      <c r="AV28" s="7">
        <f>AV26 * AV12 + AV25 * (1 - AV12) + AV27</f>
        <v>-1952.2457467170254</v>
      </c>
      <c r="AW28" s="7"/>
    </row>
    <row r="29" spans="1:49" ht="16">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554.88244270755115</v>
      </c>
      <c r="AS29" s="8">
        <f>Revenue!AS19* AS$17</f>
        <v>527.43375488105369</v>
      </c>
      <c r="AT29" s="8">
        <f>Revenue!AT19* AT$17</f>
        <v>512.07120722939612</v>
      </c>
      <c r="AU29" s="8">
        <f>Revenue!AU19* AU$17</f>
        <v>526.35490939621786</v>
      </c>
      <c r="AV29" s="8">
        <f>Revenue!AV19* AV$17</f>
        <v>571.13095855429401</v>
      </c>
      <c r="AW29" s="7"/>
    </row>
    <row r="30" spans="1:49" ht="16">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-1.1585338065986555</v>
      </c>
      <c r="AS30" s="8">
        <f>InputSummary!AS150 * AS$17</f>
        <v>-0.7596653165814915</v>
      </c>
      <c r="AT30" s="8">
        <f>InputSummary!AT150 * AT$17</f>
        <v>0.24953137819732674</v>
      </c>
      <c r="AU30" s="8">
        <f>InputSummary!AU150 * AU$17</f>
        <v>0.33018986640942777</v>
      </c>
      <c r="AV30" s="8">
        <f>InputSummary!AV150 * AV$17</f>
        <v>0.49634041833337356</v>
      </c>
      <c r="AW30" s="7"/>
    </row>
    <row r="31" spans="1:49" ht="16">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-338.55584526260515</v>
      </c>
      <c r="AS31" s="8">
        <f>-Totex!AS82 * AS$17</f>
        <v>-437.41063475234535</v>
      </c>
      <c r="AT31" s="8">
        <f>-Totex!AT82 * AT$17</f>
        <v>-511.89284952246362</v>
      </c>
      <c r="AU31" s="8">
        <f>-Totex!AU82 * AU$17</f>
        <v>-531.24119527672224</v>
      </c>
      <c r="AV31" s="8">
        <f>-Totex!AV82 * AV$17</f>
        <v>-538.42448995053849</v>
      </c>
      <c r="AW31" s="7"/>
    </row>
    <row r="32" spans="1:49" ht="16">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-128.00686269144077</v>
      </c>
      <c r="AS32" s="8">
        <f>-InputSummary!AS97 * AS$17</f>
        <v>-69.745355537394374</v>
      </c>
      <c r="AT32" s="8">
        <f>-InputSummary!AT97 * AT$17</f>
        <v>-72.859060052370268</v>
      </c>
      <c r="AU32" s="8">
        <f>-InputSummary!AU97 * AU$17</f>
        <v>-74.850719100497074</v>
      </c>
      <c r="AV32" s="8">
        <f>-InputSummary!AV97 * AV$17</f>
        <v>-97.619739321734912</v>
      </c>
      <c r="AW32" s="7"/>
    </row>
    <row r="33" spans="1:49" ht="16">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-1.4406371698159333</v>
      </c>
      <c r="AS33" s="8">
        <f>InputSummary!AS124 * AS$17</f>
        <v>-1.3600382275281706</v>
      </c>
      <c r="AT33" s="8">
        <f>InputSummary!AT124 * AT$17</f>
        <v>-7.475527120467274</v>
      </c>
      <c r="AU33" s="8">
        <f>InputSummary!AU124 * AU$17</f>
        <v>0</v>
      </c>
      <c r="AV33" s="8">
        <f>InputSummary!AV124 * AV$17</f>
        <v>0</v>
      </c>
      <c r="AW33" s="7"/>
    </row>
    <row r="34" spans="1:49" ht="16">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-30.670288141427644</v>
      </c>
      <c r="AS34" s="2">
        <f t="shared" si="3"/>
        <v>-32.780195783411045</v>
      </c>
      <c r="AT34" s="2">
        <f t="shared" si="3"/>
        <v>-36.223012791000031</v>
      </c>
      <c r="AU34" s="2">
        <f t="shared" si="3"/>
        <v>-39.400286795606782</v>
      </c>
      <c r="AV34" s="2">
        <f t="shared" ref="AV34" si="4">-AV194</f>
        <v>-42.672256372724327</v>
      </c>
      <c r="AW34" s="7"/>
    </row>
    <row r="35" spans="1:49" ht="16">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-5.8583134625727142</v>
      </c>
      <c r="AS35" s="7">
        <f t="shared" si="5"/>
        <v>0</v>
      </c>
      <c r="AT35" s="7">
        <f t="shared" si="5"/>
        <v>0</v>
      </c>
      <c r="AU35" s="7">
        <f t="shared" si="5"/>
        <v>0</v>
      </c>
      <c r="AV35" s="7">
        <f t="shared" ref="AV35" si="6">-AV184</f>
        <v>0</v>
      </c>
      <c r="AW35" s="7"/>
    </row>
    <row r="36" spans="1:49" ht="16">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3"/>
      <c r="AR36" s="432">
        <f>SUM(AR28:AR35)</f>
        <v>-1356.80326884436</v>
      </c>
      <c r="AS36" s="432">
        <f>SUM(AS28:AS35)</f>
        <v>-1453.4563257666455</v>
      </c>
      <c r="AT36" s="432">
        <f>SUM(AT28:AT35)</f>
        <v>-1647.9227577053205</v>
      </c>
      <c r="AU36" s="432">
        <f>SUM(AU28:AU35)</f>
        <v>-1857.1894750689305</v>
      </c>
      <c r="AV36" s="432">
        <f>SUM(AV28:AV35)</f>
        <v>-2059.3349333893957</v>
      </c>
      <c r="AW36" s="7"/>
    </row>
    <row r="37" spans="1:49" ht="16">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-64.780558775138957</v>
      </c>
      <c r="AS37" s="2">
        <f t="shared" ref="AS37:AU37" si="7">AS169</f>
        <v>-68.591068353672512</v>
      </c>
      <c r="AT37" s="2">
        <f t="shared" si="7"/>
        <v>-75.829546784651328</v>
      </c>
      <c r="AU37" s="2">
        <f t="shared" si="7"/>
        <v>-85.696769898190695</v>
      </c>
      <c r="AV37" s="2">
        <f t="shared" ref="AV37" si="8">AV169</f>
        <v>-95.560831878703084</v>
      </c>
      <c r="AW37" s="7"/>
    </row>
    <row r="38" spans="1:49" ht="16">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-19.156213777402833</v>
      </c>
      <c r="AS38" s="2">
        <f t="shared" si="9"/>
        <v>-11.622798614888131</v>
      </c>
      <c r="AT38" s="2">
        <f t="shared" si="9"/>
        <v>-15.813923578158594</v>
      </c>
      <c r="AU38" s="2">
        <f t="shared" si="9"/>
        <v>-10.559194414560823</v>
      </c>
      <c r="AV38" s="2">
        <f t="shared" ref="AV38" si="10">AV170</f>
        <v>-10.184579155520479</v>
      </c>
      <c r="AW38" s="7"/>
    </row>
    <row r="39" spans="1:49" ht="16">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5.252186515540453</v>
      </c>
      <c r="AS39" s="7">
        <f t="shared" si="11"/>
        <v>2.0658073969840793</v>
      </c>
      <c r="AT39" s="7">
        <f t="shared" si="11"/>
        <v>1.7068684970230568</v>
      </c>
      <c r="AU39" s="7">
        <f t="shared" si="11"/>
        <v>1.7756146110517932</v>
      </c>
      <c r="AV39" s="7">
        <f t="shared" ref="AV39" si="12">AV239</f>
        <v>1.8324828969625457</v>
      </c>
      <c r="AW39" s="7"/>
    </row>
    <row r="40" spans="1:49" ht="16">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-3.3463361490773949</v>
      </c>
      <c r="AS40" s="2">
        <f t="shared" si="13"/>
        <v>-0.18866148839074981</v>
      </c>
      <c r="AT40" s="2">
        <f t="shared" si="13"/>
        <v>-0.52301358762463224</v>
      </c>
      <c r="AU40" s="2">
        <f t="shared" si="13"/>
        <v>-0.57592194639524052</v>
      </c>
      <c r="AV40" s="2">
        <f t="shared" ref="AV40" si="14">-AV274</f>
        <v>-0.65054258461101711</v>
      </c>
      <c r="AW40" s="7"/>
    </row>
    <row r="41" spans="1:49" ht="16">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2"/>
      <c r="AR41" s="431">
        <f>SUM(AR36:AR40)</f>
        <v>-1438.8341910304389</v>
      </c>
      <c r="AS41" s="431">
        <f t="shared" ref="AS41:AU41" si="15">SUM(AS36:AS40)</f>
        <v>-1531.7930468266127</v>
      </c>
      <c r="AT41" s="431">
        <f t="shared" si="15"/>
        <v>-1738.3823731587318</v>
      </c>
      <c r="AU41" s="431">
        <f t="shared" si="15"/>
        <v>-1952.2457467170254</v>
      </c>
      <c r="AV41" s="431">
        <f t="shared" ref="AV41" si="16">SUM(AV36:AV40)</f>
        <v>-2163.8984041112681</v>
      </c>
      <c r="AW41" s="7"/>
    </row>
    <row r="42" spans="1:49" ht="16">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-1405.9952310174501</v>
      </c>
      <c r="AS45" s="7">
        <f>AS12 * AS26 + AS13 * AS25</f>
        <v>-1438.8341910304389</v>
      </c>
      <c r="AT45" s="7">
        <f>AT12 * AT26 + AT13 * AT25</f>
        <v>-1531.7930468266127</v>
      </c>
      <c r="AU45" s="7">
        <f>AU12 * AU26 + AU13 * AU25</f>
        <v>-1738.3823731587318</v>
      </c>
      <c r="AV45" s="7">
        <f>AV12 * AV26 + AV13 * AV25</f>
        <v>-1952.2457467170254</v>
      </c>
      <c r="AW45" s="7"/>
    </row>
    <row r="46" spans="1:49" ht="16">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-1405.9952310174501</v>
      </c>
      <c r="AS46" s="7">
        <f>AS28</f>
        <v>-1438.8341910304389</v>
      </c>
      <c r="AT46" s="7">
        <f>AT28</f>
        <v>-1531.7930468266127</v>
      </c>
      <c r="AU46" s="7">
        <f>AU28</f>
        <v>-1738.3823731587318</v>
      </c>
      <c r="AV46" s="7">
        <f>AV28</f>
        <v>-1952.2457467170254</v>
      </c>
      <c r="AW46" s="7"/>
    </row>
    <row r="47" spans="1:49" ht="16">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-1405.9952310174501</v>
      </c>
      <c r="AS53" s="7">
        <f>AS45</f>
        <v>-1438.8341910304389</v>
      </c>
      <c r="AT53" s="7">
        <f t="shared" ref="AT53:AV53" si="17">AT45</f>
        <v>-1531.7930468266127</v>
      </c>
      <c r="AU53" s="7">
        <f>AU45</f>
        <v>-1738.3823731587318</v>
      </c>
      <c r="AV53" s="7">
        <f t="shared" si="17"/>
        <v>-1952.2457467170254</v>
      </c>
      <c r="AW53" s="7"/>
    </row>
    <row r="54" spans="1:49" ht="16">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2343.3253850290835</v>
      </c>
      <c r="AS55" s="7">
        <f>'Return&amp;RAV'!AS20 * AR$17</f>
        <v>2555.8573451189704</v>
      </c>
      <c r="AT55" s="7">
        <f>'Return&amp;RAV'!AT20 * AS$17</f>
        <v>2731.6829819509203</v>
      </c>
      <c r="AU55" s="7">
        <f>'Return&amp;RAV'!AU20 * AT$17</f>
        <v>3018.5843992500022</v>
      </c>
      <c r="AV55" s="7">
        <f>'Return&amp;RAV'!AV20 * AU$17</f>
        <v>3283.3572329672315</v>
      </c>
      <c r="AW55" s="7"/>
    </row>
    <row r="56" spans="1:49" ht="16">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0.56295559444201448</v>
      </c>
      <c r="AT57" s="126">
        <f t="shared" si="18"/>
        <v>0.5607506643148733</v>
      </c>
      <c r="AU57" s="126">
        <f t="shared" si="18"/>
        <v>0.57589324770599437</v>
      </c>
      <c r="AV57" s="126">
        <f t="shared" si="18"/>
        <v>0.594588285159804</v>
      </c>
      <c r="AW57" s="7"/>
    </row>
    <row r="58" spans="1:49" ht="16">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2343.3253850290835</v>
      </c>
      <c r="AS69" s="7">
        <f>AS55 * AS12</f>
        <v>0</v>
      </c>
      <c r="AT69" s="7">
        <f>AT55 * AT12</f>
        <v>0</v>
      </c>
      <c r="AU69" s="7">
        <f>AU55 * AU12</f>
        <v>0</v>
      </c>
      <c r="AV69" s="7">
        <f>AV55 * AV12</f>
        <v>0</v>
      </c>
      <c r="AW69" s="7"/>
    </row>
    <row r="70" spans="1:49" ht="16">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-117.16626925145428</v>
      </c>
      <c r="AS71" s="7">
        <f t="shared" ref="AS71:AV71" si="22">AS68*AS69</f>
        <v>0</v>
      </c>
      <c r="AT71" s="7">
        <f t="shared" si="22"/>
        <v>0</v>
      </c>
      <c r="AU71" s="7">
        <f t="shared" si="22"/>
        <v>0</v>
      </c>
      <c r="AV71" s="7">
        <f t="shared" si="22"/>
        <v>0</v>
      </c>
      <c r="AW71" s="7"/>
    </row>
    <row r="72" spans="1:49" ht="16">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2343.3253850290835</v>
      </c>
      <c r="AS76" s="7">
        <f t="shared" ref="AS76:AV76" si="23">AS55</f>
        <v>2555.8573451189704</v>
      </c>
      <c r="AT76" s="7">
        <f t="shared" si="23"/>
        <v>2731.6829819509203</v>
      </c>
      <c r="AU76" s="7">
        <f t="shared" si="23"/>
        <v>3018.5843992500022</v>
      </c>
      <c r="AV76" s="7">
        <f t="shared" si="23"/>
        <v>3283.3572329672315</v>
      </c>
      <c r="AW76" s="7"/>
    </row>
    <row r="77" spans="1:49" ht="16">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0.56295559444201448</v>
      </c>
      <c r="AT78" s="103">
        <f>AT57 * AT13</f>
        <v>0.5607506643148733</v>
      </c>
      <c r="AU78" s="103">
        <f>AU57 * AU13</f>
        <v>0.57589324770599437</v>
      </c>
      <c r="AV78" s="103">
        <f>AV57 * AV13</f>
        <v>0.594588285159804</v>
      </c>
      <c r="AW78" s="193"/>
    </row>
    <row r="79" spans="1:49" ht="16">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-3.7044405557985494E-2</v>
      </c>
      <c r="AT80" s="459">
        <f t="shared" ref="AT80:AV80" si="25">AT78 + AT79</f>
        <v>-3.9249335685126674E-2</v>
      </c>
      <c r="AU80" s="459">
        <f t="shared" si="25"/>
        <v>-2.4106752294005607E-2</v>
      </c>
      <c r="AV80" s="459">
        <f t="shared" si="25"/>
        <v>-5.4117148401959803E-3</v>
      </c>
      <c r="AW80" s="193"/>
    </row>
    <row r="81" spans="1:49" ht="16">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-1405.9952310174501</v>
      </c>
      <c r="AS92" s="7">
        <f t="shared" ref="AS92:AV92" si="28">AS46</f>
        <v>-1438.8341910304389</v>
      </c>
      <c r="AT92" s="7">
        <f t="shared" si="28"/>
        <v>-1531.7930468266127</v>
      </c>
      <c r="AU92" s="7">
        <f t="shared" si="28"/>
        <v>-1738.3823731587318</v>
      </c>
      <c r="AV92" s="7">
        <f t="shared" si="28"/>
        <v>-1952.2457467170254</v>
      </c>
      <c r="AW92" s="7"/>
    </row>
    <row r="93" spans="1:49" ht="16">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2343.3253850290835</v>
      </c>
      <c r="AS93" s="7">
        <f t="shared" si="29"/>
        <v>2555.8573451189704</v>
      </c>
      <c r="AT93" s="7">
        <f t="shared" si="29"/>
        <v>2731.6829819509203</v>
      </c>
      <c r="AU93" s="7">
        <f t="shared" si="29"/>
        <v>3018.5843992500022</v>
      </c>
      <c r="AV93" s="7">
        <f>AV55</f>
        <v>3283.3572329672315</v>
      </c>
      <c r="AW93" s="7"/>
    </row>
    <row r="94" spans="1:49" ht="16">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0.56295559444201448</v>
      </c>
      <c r="AT95" s="460">
        <f t="shared" si="30"/>
        <v>0.5607506643148733</v>
      </c>
      <c r="AU95" s="460">
        <f t="shared" si="30"/>
        <v>0.57589324770599437</v>
      </c>
      <c r="AV95" s="460">
        <f>-AV92 / AV93</f>
        <v>0.594588285159804</v>
      </c>
      <c r="AW95" s="7"/>
    </row>
    <row r="96" spans="1:49" ht="16">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3.2000000000000001E-2</v>
      </c>
      <c r="AV105" s="49">
        <f>InputSummary!AV178</f>
        <v>3.2000000000000001E-2</v>
      </c>
      <c r="AW105" s="7"/>
    </row>
    <row r="106" spans="1:49" ht="16">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5.264000000000002E-2</v>
      </c>
      <c r="AV108" s="462">
        <f>(1 + AV105) * (1 + AV106) - 1</f>
        <v>5.264000000000002E-2</v>
      </c>
      <c r="AW108" s="2"/>
    </row>
    <row r="109" spans="1:49" ht="16">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2.1980582524271819E-2</v>
      </c>
      <c r="AV113" s="193">
        <f t="shared" si="31"/>
        <v>2.1980582524271819E-2</v>
      </c>
      <c r="AW113" s="2"/>
    </row>
    <row r="114" spans="1:49" ht="16">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3.3025740650801216E-2</v>
      </c>
      <c r="AT114" s="49">
        <f>InputSummary!AT188</f>
        <v>4.840649761983018E-2</v>
      </c>
      <c r="AU114" s="49">
        <f>InputSummary!AU188</f>
        <v>3.5320953108995079E-2</v>
      </c>
      <c r="AV114" s="49">
        <f>InputSummary!AV188</f>
        <v>3.058865665028776E-2</v>
      </c>
      <c r="AW114" s="2"/>
    </row>
    <row r="115" spans="1:49" ht="16">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5.5425349283514835E-2</v>
      </c>
      <c r="AT116" s="462">
        <f>(1 + AT113) * (1 + AT114) - 1</f>
        <v>7.1347260380369759E-2</v>
      </c>
      <c r="AU116" s="462">
        <f>(1 + AU113) * (1 + AU114) - 1</f>
        <v>5.8077910757915019E-2</v>
      </c>
      <c r="AV116" s="462">
        <f>(1 + AV113) * (1 + AV114) - 1</f>
        <v>5.324159566636788E-2</v>
      </c>
      <c r="AW116" s="2"/>
    </row>
    <row r="117" spans="1:49" ht="16">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3.2000000000000001E-2</v>
      </c>
      <c r="AV119" s="193">
        <f>AV105</f>
        <v>3.2000000000000001E-2</v>
      </c>
      <c r="AW119" s="2"/>
    </row>
    <row r="120" spans="1:49" ht="16">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3.2148357289527585E-2</v>
      </c>
      <c r="AT120" s="49">
        <f>InputSummary!AT189</f>
        <v>3.9787011293574315E-2</v>
      </c>
      <c r="AU120" s="49">
        <f>InputSummary!AU189</f>
        <v>2.3493774810292134E-2</v>
      </c>
      <c r="AV120" s="49">
        <f>InputSummary!AV189</f>
        <v>2.0310356376031402E-2</v>
      </c>
      <c r="AW120" s="7"/>
    </row>
    <row r="121" spans="1:49" ht="16">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6.4867460215605632E-2</v>
      </c>
      <c r="AT122" s="462">
        <f t="shared" si="32"/>
        <v>7.2956216953839359E-2</v>
      </c>
      <c r="AU122" s="462">
        <f t="shared" si="32"/>
        <v>5.6245575604221498E-2</v>
      </c>
      <c r="AV122" s="462">
        <f t="shared" si="32"/>
        <v>5.2960287780064341E-2</v>
      </c>
      <c r="AW122" s="2"/>
    </row>
    <row r="123" spans="1:49" ht="16">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-1405.9952310174501</v>
      </c>
      <c r="AS126" s="7">
        <f>AS28</f>
        <v>-1438.8341910304389</v>
      </c>
      <c r="AT126" s="7">
        <f>AT28</f>
        <v>-1531.7930468266127</v>
      </c>
      <c r="AU126" s="7">
        <f>AU28</f>
        <v>-1738.3823731587318</v>
      </c>
      <c r="AV126" s="7">
        <f>AV28</f>
        <v>-1952.2457467170254</v>
      </c>
      <c r="AW126" s="7"/>
    </row>
    <row r="127" spans="1:49" ht="16">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-1356.80326884436</v>
      </c>
      <c r="AS127" s="105">
        <f>AS36</f>
        <v>-1453.4563257666455</v>
      </c>
      <c r="AT127" s="105">
        <f>AT36</f>
        <v>-1647.9227577053205</v>
      </c>
      <c r="AU127" s="105">
        <f>AU36</f>
        <v>-1857.1894750689305</v>
      </c>
      <c r="AV127" s="105">
        <f>AV36</f>
        <v>-2059.3349333893957</v>
      </c>
      <c r="AW127" s="7"/>
    </row>
    <row r="128" spans="1:49" ht="16">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-1381.3992499309052</v>
      </c>
      <c r="AS129" s="461">
        <f t="shared" si="33"/>
        <v>-1446.1452583985422</v>
      </c>
      <c r="AT129" s="461">
        <f t="shared" si="33"/>
        <v>-1589.8579022659665</v>
      </c>
      <c r="AU129" s="461">
        <f t="shared" si="33"/>
        <v>-1797.7859241138312</v>
      </c>
      <c r="AV129" s="461">
        <f>AVERAGE(AV126:AV127)</f>
        <v>-2005.7903400532105</v>
      </c>
      <c r="AW129" s="7"/>
    </row>
    <row r="130" spans="1:49" ht="16">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5.5467365053901492E-2</v>
      </c>
      <c r="AT131" s="185">
        <f>AT167/AT129</f>
        <v>5.764255423845982E-2</v>
      </c>
      <c r="AU131" s="185">
        <f>AU167/AU129</f>
        <v>5.354139390105539E-2</v>
      </c>
      <c r="AV131" s="185">
        <f>AV167/AV129</f>
        <v>5.27200719450161E-2</v>
      </c>
      <c r="AW131" s="7"/>
    </row>
    <row r="132" spans="1:49" ht="16">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-1036.0494374481789</v>
      </c>
      <c r="AS137" s="7">
        <f t="shared" ref="AS137:AU137" si="34">AS$129 * AS136</f>
        <v>-1084.6089437989067</v>
      </c>
      <c r="AT137" s="7">
        <f t="shared" si="34"/>
        <v>-1192.3934266994747</v>
      </c>
      <c r="AU137" s="7">
        <f t="shared" si="34"/>
        <v>-1348.3394430853734</v>
      </c>
      <c r="AV137" s="7">
        <f>AV$129 * AV136</f>
        <v>-1504.3427550399078</v>
      </c>
      <c r="AW137" s="7"/>
    </row>
    <row r="138" spans="1:49" ht="16">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5.264000000000002E-2</v>
      </c>
      <c r="AV138" s="193">
        <f t="shared" si="35"/>
        <v>5.264000000000002E-2</v>
      </c>
      <c r="AW138" s="7"/>
    </row>
    <row r="139" spans="1:49" ht="16">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-53.480871961074996</v>
      </c>
      <c r="AS140" s="461">
        <f t="shared" si="36"/>
        <v>-56.761924464772093</v>
      </c>
      <c r="AT140" s="461">
        <f t="shared" si="36"/>
        <v>-62.645965851936971</v>
      </c>
      <c r="AU140" s="461">
        <f t="shared" si="36"/>
        <v>-70.976588284014085</v>
      </c>
      <c r="AV140" s="461">
        <f>AV137*AV138</f>
        <v>-79.188602625300774</v>
      </c>
      <c r="AW140" s="7"/>
    </row>
    <row r="141" spans="1:49" ht="16">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5.5425349283514835E-2</v>
      </c>
      <c r="AT145" s="193">
        <f t="shared" si="38"/>
        <v>7.1347260380369759E-2</v>
      </c>
      <c r="AU145" s="193">
        <f t="shared" si="38"/>
        <v>5.8077910757915019E-2</v>
      </c>
      <c r="AV145" s="193">
        <f t="shared" si="38"/>
        <v>5.324159566636788E-2</v>
      </c>
      <c r="AW145" s="193"/>
    </row>
    <row r="146" spans="1:49" ht="16">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-345.34981248272629</v>
      </c>
      <c r="AS153" s="7">
        <f t="shared" ref="AS153:AU153" si="40">AS$129 * AS152</f>
        <v>-361.53631459963555</v>
      </c>
      <c r="AT153" s="7">
        <f t="shared" si="40"/>
        <v>-397.46447556649161</v>
      </c>
      <c r="AU153" s="7">
        <f t="shared" si="40"/>
        <v>-449.44648102845781</v>
      </c>
      <c r="AV153" s="7">
        <f>AV$129 * AV152</f>
        <v>-501.44758501330261</v>
      </c>
      <c r="AW153" s="7"/>
    </row>
    <row r="154" spans="1:49" ht="16">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6.4867460215605632E-2</v>
      </c>
      <c r="AT154" s="193">
        <f t="shared" si="41"/>
        <v>7.2956216953839359E-2</v>
      </c>
      <c r="AU154" s="193">
        <f t="shared" si="41"/>
        <v>5.6245575604221498E-2</v>
      </c>
      <c r="AV154" s="193">
        <f>AV$122</f>
        <v>5.2960287780064341E-2</v>
      </c>
      <c r="AW154" s="7"/>
    </row>
    <row r="155" spans="1:49" ht="16">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-30.455900591466804</v>
      </c>
      <c r="AS156" s="461">
        <f t="shared" si="42"/>
        <v>-23.451942503788541</v>
      </c>
      <c r="AT156" s="461">
        <f t="shared" si="42"/>
        <v>-28.997504510872947</v>
      </c>
      <c r="AU156" s="461">
        <f t="shared" si="42"/>
        <v>-25.279376028737428</v>
      </c>
      <c r="AV156" s="461">
        <f>AV153*AV154</f>
        <v>-26.556808408922784</v>
      </c>
      <c r="AW156" s="7"/>
    </row>
    <row r="157" spans="1:49" ht="16">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-19.156213777402833</v>
      </c>
      <c r="AS158" s="461">
        <f>AS120 * AS153</f>
        <v>-11.622798614888131</v>
      </c>
      <c r="AT158" s="461">
        <f>AT120 * AT153</f>
        <v>-15.813923578158594</v>
      </c>
      <c r="AU158" s="461">
        <f>AU120 * AU153</f>
        <v>-10.559194414560823</v>
      </c>
      <c r="AV158" s="461">
        <f>AV120 * AV153</f>
        <v>-10.184579155520479</v>
      </c>
      <c r="AW158" s="7"/>
    </row>
    <row r="159" spans="1:49" ht="16">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-19.156213777402833</v>
      </c>
      <c r="AS164" s="7">
        <f>AS158 + AS149</f>
        <v>-11.622798614888131</v>
      </c>
      <c r="AT164" s="7">
        <f>AT158 + AT149</f>
        <v>-15.813923578158594</v>
      </c>
      <c r="AU164" s="7">
        <f>AU158 + AU149</f>
        <v>-10.559194414560823</v>
      </c>
      <c r="AV164" s="7">
        <f>AV158 + AV149</f>
        <v>-10.184579155520479</v>
      </c>
      <c r="AW164" s="7"/>
    </row>
    <row r="165" spans="1:49" ht="16">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-83.936772552541797</v>
      </c>
      <c r="AS167" s="7">
        <f>AS140 + AS156 + AS147</f>
        <v>-80.213866968560637</v>
      </c>
      <c r="AT167" s="7">
        <f>AT140 + AT156 + AT147</f>
        <v>-91.643470362809921</v>
      </c>
      <c r="AU167" s="7">
        <f>AU140 + AU156 + AU147</f>
        <v>-96.255964312751516</v>
      </c>
      <c r="AV167" s="7">
        <f>AV140 + AV156 + AV147</f>
        <v>-105.74541103422357</v>
      </c>
      <c r="AW167" s="7"/>
    </row>
    <row r="168" spans="1:49" ht="16">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-64.780558775138957</v>
      </c>
      <c r="AS169" s="461">
        <f t="shared" si="43"/>
        <v>-68.591068353672512</v>
      </c>
      <c r="AT169" s="461">
        <f t="shared" si="43"/>
        <v>-75.829546784651328</v>
      </c>
      <c r="AU169" s="461">
        <f t="shared" si="43"/>
        <v>-85.696769898190695</v>
      </c>
      <c r="AV169" s="461">
        <f t="shared" si="43"/>
        <v>-95.560831878703084</v>
      </c>
      <c r="AW169" s="7"/>
    </row>
    <row r="170" spans="1:49" ht="16">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-19.156213777402833</v>
      </c>
      <c r="AS170" s="461">
        <f t="shared" ref="AS170:AV170" si="44">AS164</f>
        <v>-11.622798614888131</v>
      </c>
      <c r="AT170" s="461">
        <f t="shared" si="44"/>
        <v>-15.813923578158594</v>
      </c>
      <c r="AU170" s="461">
        <f t="shared" si="44"/>
        <v>-10.559194414560823</v>
      </c>
      <c r="AV170" s="461">
        <f t="shared" si="44"/>
        <v>-10.184579155520479</v>
      </c>
      <c r="AW170" s="7"/>
    </row>
    <row r="171" spans="1:49" ht="16">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0.22822194843638574</v>
      </c>
      <c r="AS171" s="26">
        <f t="shared" si="45"/>
        <v>0.14489762249516808</v>
      </c>
      <c r="AT171" s="26">
        <f t="shared" si="45"/>
        <v>0.17255919614951731</v>
      </c>
      <c r="AU171" s="26">
        <f t="shared" si="45"/>
        <v>0.10969911828270981</v>
      </c>
      <c r="AV171" s="26">
        <f t="shared" si="45"/>
        <v>9.6312256540610833E-2</v>
      </c>
      <c r="AW171" s="7"/>
    </row>
    <row r="172" spans="1:49" ht="16">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-117.16626925145428</v>
      </c>
      <c r="AS178" s="7">
        <f>AS71</f>
        <v>0</v>
      </c>
      <c r="AT178" s="7">
        <f>AT71</f>
        <v>0</v>
      </c>
      <c r="AU178" s="7">
        <f>AU71</f>
        <v>0</v>
      </c>
      <c r="AV178" s="7">
        <f>AV71</f>
        <v>0</v>
      </c>
      <c r="AW178" s="89"/>
    </row>
    <row r="179" spans="1:49" ht="16">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117.16626925145428</v>
      </c>
      <c r="AS180" s="7">
        <f t="shared" ref="AS180:AV180" si="46">AS176 * MAX(-AS178,0) + (1 - AS176) * (-AS178 + AS179)</f>
        <v>0</v>
      </c>
      <c r="AT180" s="7">
        <f t="shared" si="46"/>
        <v>0</v>
      </c>
      <c r="AU180" s="7">
        <f t="shared" si="46"/>
        <v>0</v>
      </c>
      <c r="AV180" s="7">
        <f t="shared" si="46"/>
        <v>0</v>
      </c>
      <c r="AW180" s="7"/>
    </row>
    <row r="181" spans="1:49" ht="16">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7"/>
      <c r="AK184" s="537"/>
      <c r="AL184" s="537"/>
      <c r="AM184" s="537"/>
      <c r="AN184" s="537"/>
      <c r="AO184" s="537"/>
      <c r="AP184" s="537"/>
      <c r="AQ184" s="385"/>
      <c r="AR184" s="537">
        <f t="shared" ref="AR184:AU184" si="47">AR180 * AR182</f>
        <v>5.8583134625727142</v>
      </c>
      <c r="AS184" s="537">
        <f t="shared" si="47"/>
        <v>0</v>
      </c>
      <c r="AT184" s="537">
        <f t="shared" si="47"/>
        <v>0</v>
      </c>
      <c r="AU184" s="537">
        <f t="shared" si="47"/>
        <v>0</v>
      </c>
      <c r="AV184" s="537">
        <f>AV180 * AV182</f>
        <v>0</v>
      </c>
      <c r="AW184" s="7"/>
    </row>
    <row r="185" spans="1:49" ht="16">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4.5745820356418712</v>
      </c>
      <c r="AS185" s="149">
        <f t="shared" si="48"/>
        <v>0</v>
      </c>
      <c r="AT185" s="149">
        <f t="shared" si="48"/>
        <v>0</v>
      </c>
      <c r="AU185" s="149">
        <f t="shared" si="48"/>
        <v>0</v>
      </c>
      <c r="AV185" s="149">
        <f t="shared" si="48"/>
        <v>0</v>
      </c>
      <c r="AW185" s="129"/>
    </row>
    <row r="186" spans="1:49" ht="16">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2555.8573451189704</v>
      </c>
      <c r="AS190" s="8">
        <f>'Return&amp;RAV'!AS46 * AS$17</f>
        <v>2731.6829819509203</v>
      </c>
      <c r="AT190" s="8">
        <f>'Return&amp;RAV'!AT46 * AT$17</f>
        <v>3018.5843992500022</v>
      </c>
      <c r="AU190" s="8">
        <f>'Return&amp;RAV'!AU46 * AU$17</f>
        <v>3283.3572329672315</v>
      </c>
      <c r="AV190" s="8">
        <f>'Return&amp;RAV'!AV46 * AV$17</f>
        <v>3556.0213643936941</v>
      </c>
      <c r="AW190" s="7"/>
    </row>
    <row r="191" spans="1:49" ht="16">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30.670288141427644</v>
      </c>
      <c r="AS194" s="461">
        <f t="shared" si="49"/>
        <v>32.780195783411045</v>
      </c>
      <c r="AT194" s="461">
        <f t="shared" si="49"/>
        <v>36.223012791000031</v>
      </c>
      <c r="AU194" s="461">
        <f t="shared" si="49"/>
        <v>39.400286795606782</v>
      </c>
      <c r="AV194" s="461">
        <f>AV190 * AV191 * AV192</f>
        <v>42.672256372724327</v>
      </c>
      <c r="AW194" s="7"/>
    </row>
    <row r="195" spans="1:49" ht="16">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554.88244270755115</v>
      </c>
      <c r="AS201" s="8">
        <f>Revenue!AS19 * AS$17</f>
        <v>527.43375488105369</v>
      </c>
      <c r="AT201" s="8">
        <f>Revenue!AT19 * AT$17</f>
        <v>512.07120722939612</v>
      </c>
      <c r="AU201" s="8">
        <f>Revenue!AU19 * AU$17</f>
        <v>526.35490939621786</v>
      </c>
      <c r="AV201" s="8">
        <f>Revenue!AV19 * AV$17</f>
        <v>571.13095855429401</v>
      </c>
      <c r="AW201" s="48"/>
    </row>
    <row r="202" spans="1:49" ht="16">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0.54140307957579603</v>
      </c>
      <c r="AS202" s="8">
        <f>InputSummary!AS151 * AS$17</f>
        <v>0.63363586989569187</v>
      </c>
      <c r="AT202" s="8">
        <f>InputSummary!AT151 * AT$17</f>
        <v>4.2566301441177477E-2</v>
      </c>
      <c r="AU202" s="8">
        <f>InputSummary!AU151 * AU$17</f>
        <v>4.3355122895750428E-2</v>
      </c>
      <c r="AV202" s="8">
        <f>InputSummary!AV151 * AV$17</f>
        <v>4.3937302081911933E-2</v>
      </c>
      <c r="AW202" s="48"/>
    </row>
    <row r="203" spans="1:49" ht="16">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-64.780558775138957</v>
      </c>
      <c r="AS203" s="7">
        <f t="shared" ref="AS203:AV203" si="50">AS169</f>
        <v>-68.591068353672512</v>
      </c>
      <c r="AT203" s="7">
        <f>AT169</f>
        <v>-75.829546784651328</v>
      </c>
      <c r="AU203" s="7">
        <f t="shared" si="50"/>
        <v>-85.696769898190695</v>
      </c>
      <c r="AV203" s="7">
        <f t="shared" si="50"/>
        <v>-95.560831878703084</v>
      </c>
      <c r="AW203" s="48"/>
    </row>
    <row r="204" spans="1:49" ht="16">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-19.156213777402833</v>
      </c>
      <c r="AS204" s="7">
        <f t="shared" si="51"/>
        <v>-11.622798614888131</v>
      </c>
      <c r="AT204" s="7">
        <f t="shared" si="51"/>
        <v>-15.813923578158594</v>
      </c>
      <c r="AU204" s="7">
        <f t="shared" si="51"/>
        <v>-10.559194414560823</v>
      </c>
      <c r="AV204" s="7">
        <f t="shared" si="51"/>
        <v>-10.184579155520479</v>
      </c>
      <c r="AW204" s="48"/>
    </row>
    <row r="205" spans="1:49" ht="16">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-247.84480362756116</v>
      </c>
      <c r="AS205" s="8">
        <f>-TaxPools!AS50 * AS$17</f>
        <v>-199.79427399971235</v>
      </c>
      <c r="AT205" s="8">
        <f>-TaxPools!AT50 * AT$17</f>
        <v>-228.70739000445136</v>
      </c>
      <c r="AU205" s="8">
        <f>-TaxPools!AU50 * AU$17</f>
        <v>-217.81924955990348</v>
      </c>
      <c r="AV205" s="8">
        <f>-TaxPools!AV50 * AV$17</f>
        <v>-242.63136749291755</v>
      </c>
      <c r="AW205" s="48"/>
    </row>
    <row r="206" spans="1:49" ht="16">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-109.57290896593256</v>
      </c>
      <c r="AS206" s="8">
        <f>-TaxPools!AS112</f>
        <v>-115.86989339613446</v>
      </c>
      <c r="AT206" s="8">
        <f>-TaxPools!AT112</f>
        <v>-121.49144666678387</v>
      </c>
      <c r="AU206" s="8">
        <f>-TaxPools!AU112</f>
        <v>-125.04802729130715</v>
      </c>
      <c r="AV206" s="8">
        <f>-TaxPools!AV112</f>
        <v>-128.46672739265804</v>
      </c>
      <c r="AW206" s="48"/>
    </row>
    <row r="207" spans="1:49" ht="16">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2"/>
      <c r="AR207" s="431">
        <f>SUM(AR201:AR206)</f>
        <v>114.06936064109146</v>
      </c>
      <c r="AS207" s="431">
        <f>SUM(AS201:AS206)</f>
        <v>132.18935638654187</v>
      </c>
      <c r="AT207" s="431">
        <f>SUM(AT201:AT206)</f>
        <v>70.271466496792158</v>
      </c>
      <c r="AU207" s="431">
        <f>SUM(AU201:AU206)</f>
        <v>87.275023355151419</v>
      </c>
      <c r="AV207" s="431">
        <f>SUM(AV201:AV206)</f>
        <v>94.331389936576755</v>
      </c>
      <c r="AW207" s="48"/>
    </row>
    <row r="208" spans="1:49" ht="16">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-98.312801094470103</v>
      </c>
      <c r="AS218" s="7">
        <f t="shared" ref="AS218:AV218" si="52">AS299</f>
        <v>-125.99193419558964</v>
      </c>
      <c r="AT218" s="7">
        <f t="shared" si="52"/>
        <v>-65.150861005722987</v>
      </c>
      <c r="AU218" s="7">
        <f t="shared" si="52"/>
        <v>-81.948179521996039</v>
      </c>
      <c r="AV218" s="7">
        <f t="shared" si="52"/>
        <v>-88.833941245689118</v>
      </c>
      <c r="AW218" s="21"/>
    </row>
    <row r="219" spans="1:49" ht="16">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98.312801094470103</v>
      </c>
      <c r="AS219" s="7">
        <f>IF(AS207 &gt;= 0, MIN(AS207, -(AS215 + AS217 + AS218)), 0)</f>
        <v>125.99193419558964</v>
      </c>
      <c r="AT219" s="7">
        <f>IF(AT207 &gt;= 0, MIN(AT207, -(AT215 + AT217 + AT218)), 0)</f>
        <v>65.150861005722987</v>
      </c>
      <c r="AU219" s="7">
        <f>IF(AU207 &gt;= 0, MIN(AU207, -(AU215 + AU217 + AU218)), 0)</f>
        <v>81.948179521996039</v>
      </c>
      <c r="AV219" s="7">
        <f>IF(AV207 &gt;= 0, MIN(AV207, -(AV215 + AV217 + AV218)), 0)</f>
        <v>88.833941245689118</v>
      </c>
      <c r="AW219" s="21"/>
    </row>
    <row r="220" spans="1:49" ht="16">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2"/>
      <c r="AR220" s="431">
        <f t="shared" ref="AR220:AU220" si="53">SUM(AR215:AR219)</f>
        <v>0</v>
      </c>
      <c r="AS220" s="431">
        <f t="shared" si="53"/>
        <v>0</v>
      </c>
      <c r="AT220" s="431">
        <f t="shared" si="53"/>
        <v>0</v>
      </c>
      <c r="AU220" s="431">
        <f t="shared" si="53"/>
        <v>0</v>
      </c>
      <c r="AV220" s="431">
        <f>SUM(AV215:AV219)</f>
        <v>0</v>
      </c>
      <c r="AW220" s="21"/>
    </row>
    <row r="221" spans="1:49" ht="1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15.756559546621361</v>
      </c>
      <c r="AS225" s="7">
        <f>MAX( AS207 - AS219, 0)</f>
        <v>6.1974221909522385</v>
      </c>
      <c r="AT225" s="7">
        <f>MAX( AT207 - AT219, 0)</f>
        <v>5.1206054910691705</v>
      </c>
      <c r="AU225" s="7">
        <f>MAX( AU207 - AU219, 0)</f>
        <v>5.3268438331553796</v>
      </c>
      <c r="AV225" s="7">
        <f>MAX( AV207 - AV219, 0)</f>
        <v>5.4974486908876372</v>
      </c>
      <c r="AW225" s="7"/>
    </row>
    <row r="226" spans="1:49" ht="16">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6">
        <f>InputSummary!AR263</f>
        <v>0.25</v>
      </c>
      <c r="AS226" s="123">
        <f>InputSummary!AS263</f>
        <v>0.25</v>
      </c>
      <c r="AT226" s="123">
        <f>InputSummary!AT263</f>
        <v>0.25</v>
      </c>
      <c r="AU226" s="123">
        <f>InputSummary!AU263</f>
        <v>0.25</v>
      </c>
      <c r="AV226" s="123">
        <f>InputSummary!AV263</f>
        <v>0.25</v>
      </c>
      <c r="AW226" s="7"/>
    </row>
    <row r="227" spans="1:49" ht="16">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3.9391398866553402</v>
      </c>
      <c r="AS227" s="7">
        <f t="shared" si="54"/>
        <v>1.5493555477380596</v>
      </c>
      <c r="AT227" s="7">
        <f t="shared" si="54"/>
        <v>1.2801513727672926</v>
      </c>
      <c r="AU227" s="7">
        <f t="shared" si="54"/>
        <v>1.3317109582888449</v>
      </c>
      <c r="AV227" s="7">
        <f t="shared" si="54"/>
        <v>1.3743621727219093</v>
      </c>
      <c r="AW227" s="21"/>
    </row>
    <row r="228" spans="1:49" ht="1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7"/>
      <c r="AK231" s="537"/>
      <c r="AL231" s="537"/>
      <c r="AM231" s="537"/>
      <c r="AN231" s="537"/>
      <c r="AO231" s="537"/>
      <c r="AP231" s="537"/>
      <c r="AQ231" s="385"/>
      <c r="AR231" s="537">
        <f t="shared" ref="AR231:AU231" si="56">AR227 * AR229</f>
        <v>5.252186515540453</v>
      </c>
      <c r="AS231" s="537">
        <f t="shared" si="56"/>
        <v>2.0658073969840793</v>
      </c>
      <c r="AT231" s="537">
        <f t="shared" si="56"/>
        <v>1.7068684970230568</v>
      </c>
      <c r="AU231" s="537">
        <f t="shared" si="56"/>
        <v>1.7756146110517932</v>
      </c>
      <c r="AV231" s="537">
        <f>AV227 * AV229</f>
        <v>1.8324828969625457</v>
      </c>
      <c r="AW231" s="21"/>
    </row>
    <row r="232" spans="1:49" ht="1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5.252186515540453</v>
      </c>
      <c r="AS235" s="7">
        <f t="shared" si="57"/>
        <v>2.0658073969840793</v>
      </c>
      <c r="AT235" s="7">
        <f t="shared" si="57"/>
        <v>1.7068684970230568</v>
      </c>
      <c r="AU235" s="7">
        <f t="shared" si="57"/>
        <v>1.7756146110517932</v>
      </c>
      <c r="AV235" s="7">
        <f>AV231</f>
        <v>1.8324828969625457</v>
      </c>
      <c r="AW235" s="2"/>
    </row>
    <row r="236" spans="1:49" ht="16">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5"/>
      <c r="AK237" s="525"/>
      <c r="AL237" s="525"/>
      <c r="AM237" s="525"/>
      <c r="AN237" s="525"/>
      <c r="AO237" s="525"/>
      <c r="AP237" s="525"/>
      <c r="AQ237" s="530"/>
      <c r="AR237" s="525">
        <f t="shared" ref="AR237:AU237" si="59">AR235+AR236</f>
        <v>5.252186515540453</v>
      </c>
      <c r="AS237" s="525">
        <f t="shared" si="59"/>
        <v>2.0658073969840793</v>
      </c>
      <c r="AT237" s="525">
        <f t="shared" si="59"/>
        <v>1.7068684970230568</v>
      </c>
      <c r="AU237" s="525">
        <f t="shared" si="59"/>
        <v>1.7756146110517932</v>
      </c>
      <c r="AV237" s="525">
        <f>AV235+AV236</f>
        <v>1.8324828969625457</v>
      </c>
      <c r="AW237" s="21"/>
    </row>
    <row r="238" spans="1:49" ht="16">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2"/>
      <c r="AR239" s="431">
        <f t="shared" ref="AR239:AU239" si="60">SUM(AR237:AR238)</f>
        <v>5.252186515540453</v>
      </c>
      <c r="AS239" s="431">
        <f t="shared" si="60"/>
        <v>2.0658073969840793</v>
      </c>
      <c r="AT239" s="431">
        <f t="shared" si="60"/>
        <v>1.7068684970230568</v>
      </c>
      <c r="AU239" s="431">
        <f t="shared" si="60"/>
        <v>1.7756146110517932</v>
      </c>
      <c r="AV239" s="431">
        <f>SUM(AV237:AV238)</f>
        <v>1.8324828969625457</v>
      </c>
      <c r="AW239" s="21"/>
    </row>
    <row r="240" spans="1:49" ht="16">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4.1012756035216356</v>
      </c>
      <c r="AS240" s="149">
        <f t="shared" si="61"/>
        <v>1.5628831781221042</v>
      </c>
      <c r="AT240" s="149">
        <f t="shared" si="61"/>
        <v>1.2419164035426926</v>
      </c>
      <c r="AU240" s="149">
        <f t="shared" si="61"/>
        <v>1.262280302042796</v>
      </c>
      <c r="AV240" s="149">
        <f t="shared" si="61"/>
        <v>1.2767760576421814</v>
      </c>
      <c r="AW240" s="129"/>
    </row>
    <row r="241" spans="1:49" ht="16">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554.88244270755115</v>
      </c>
      <c r="AS248" s="7">
        <f t="shared" si="63"/>
        <v>527.43375488105369</v>
      </c>
      <c r="AT248" s="7">
        <f t="shared" si="63"/>
        <v>512.07120722939612</v>
      </c>
      <c r="AU248" s="7">
        <f t="shared" si="63"/>
        <v>526.35490939621786</v>
      </c>
      <c r="AV248" s="7">
        <f t="shared" si="63"/>
        <v>571.13095855429401</v>
      </c>
      <c r="AW248" s="21"/>
    </row>
    <row r="249" spans="1:49" ht="16">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0.54140307957579603</v>
      </c>
      <c r="AS249" s="7">
        <f t="shared" si="63"/>
        <v>0.63363586989569187</v>
      </c>
      <c r="AT249" s="7">
        <f t="shared" si="63"/>
        <v>4.2566301441177477E-2</v>
      </c>
      <c r="AU249" s="7">
        <f t="shared" si="63"/>
        <v>4.3355122895750428E-2</v>
      </c>
      <c r="AV249" s="7">
        <f t="shared" si="63"/>
        <v>4.3937302081911933E-2</v>
      </c>
      <c r="AW249" s="21"/>
    </row>
    <row r="250" spans="1:49" ht="16">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5.252186515540453</v>
      </c>
      <c r="AS250" s="7">
        <f t="shared" si="64"/>
        <v>2.0658073969840793</v>
      </c>
      <c r="AT250" s="7">
        <f t="shared" si="64"/>
        <v>1.7068684970230568</v>
      </c>
      <c r="AU250" s="7">
        <f t="shared" si="64"/>
        <v>1.7756146110517932</v>
      </c>
      <c r="AV250" s="7">
        <f>AV239</f>
        <v>1.8324828969625457</v>
      </c>
      <c r="AW250" s="21"/>
    </row>
    <row r="251" spans="1:49" ht="16">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-1.6999368861744515</v>
      </c>
      <c r="AS251" s="7">
        <f>(InputSummary!AS143 + InputSummary!AS144) * AS$17</f>
        <v>-1.3933011864771834</v>
      </c>
      <c r="AT251" s="7">
        <f>(InputSummary!AT143 + InputSummary!AT144) * AT$17</f>
        <v>0.20696507675614925</v>
      </c>
      <c r="AU251" s="7">
        <f>(InputSummary!AU143 + InputSummary!AU144) * AU$17</f>
        <v>0.28683474351367733</v>
      </c>
      <c r="AV251" s="7">
        <f>(InputSummary!AV143 + InputSummary!AV144) * AV$17</f>
        <v>0.45240311625146162</v>
      </c>
      <c r="AW251" s="21"/>
    </row>
    <row r="252" spans="1:49" ht="16">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-64.780558775138957</v>
      </c>
      <c r="AS252" s="7">
        <f t="shared" si="65"/>
        <v>-68.591068353672512</v>
      </c>
      <c r="AT252" s="7">
        <f t="shared" si="65"/>
        <v>-75.829546784651328</v>
      </c>
      <c r="AU252" s="7">
        <f t="shared" si="65"/>
        <v>-85.696769898190695</v>
      </c>
      <c r="AV252" s="7">
        <f t="shared" si="65"/>
        <v>-95.560831878703084</v>
      </c>
      <c r="AW252" s="21"/>
    </row>
    <row r="253" spans="1:49" ht="16">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-19.156213777402833</v>
      </c>
      <c r="AS253" s="7">
        <f t="shared" si="65"/>
        <v>-11.622798614888131</v>
      </c>
      <c r="AT253" s="7">
        <f t="shared" si="65"/>
        <v>-15.813923578158594</v>
      </c>
      <c r="AU253" s="7">
        <f t="shared" si="65"/>
        <v>-10.559194414560823</v>
      </c>
      <c r="AV253" s="7">
        <f t="shared" si="65"/>
        <v>-10.184579155520479</v>
      </c>
      <c r="AW253" s="21"/>
    </row>
    <row r="254" spans="1:49" ht="16">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-247.84480362756116</v>
      </c>
      <c r="AS254" s="7">
        <f t="shared" si="65"/>
        <v>-199.79427399971235</v>
      </c>
      <c r="AT254" s="7">
        <f t="shared" si="65"/>
        <v>-228.70739000445136</v>
      </c>
      <c r="AU254" s="7">
        <f t="shared" si="65"/>
        <v>-217.81924955990348</v>
      </c>
      <c r="AV254" s="7">
        <f t="shared" si="65"/>
        <v>-242.63136749291755</v>
      </c>
      <c r="AW254" s="21"/>
    </row>
    <row r="255" spans="1:49" ht="16">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-109.57290896593256</v>
      </c>
      <c r="AS255" s="7">
        <f t="shared" si="65"/>
        <v>-115.86989339613446</v>
      </c>
      <c r="AT255" s="7">
        <f t="shared" si="65"/>
        <v>-121.49144666678387</v>
      </c>
      <c r="AU255" s="7">
        <f t="shared" si="65"/>
        <v>-125.04802729130715</v>
      </c>
      <c r="AV255" s="7">
        <f t="shared" si="65"/>
        <v>-128.46672739265804</v>
      </c>
      <c r="AW255" s="21"/>
    </row>
    <row r="256" spans="1:49" ht="16">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2"/>
      <c r="AR256" s="431">
        <f>SUM(AR248:AR255)</f>
        <v>117.62161027045744</v>
      </c>
      <c r="AS256" s="431">
        <f>SUM(AS248:AS255)</f>
        <v>132.86186259704874</v>
      </c>
      <c r="AT256" s="431">
        <f>SUM(AT248:AT255)</f>
        <v>72.185300070571401</v>
      </c>
      <c r="AU256" s="431">
        <f>SUM(AU248:AU255)</f>
        <v>89.337472709716806</v>
      </c>
      <c r="AV256" s="431">
        <f>SUM(AV248:AV255)</f>
        <v>96.616275949790833</v>
      </c>
      <c r="AW256" s="21"/>
    </row>
    <row r="257" spans="1:49" ht="16">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-104.23626567414786</v>
      </c>
      <c r="AS265" s="7">
        <f t="shared" ref="AS265:AU265" si="69">(AS281* AS$17) * ((1 - AS226) / AS226)</f>
        <v>-132.10721664348574</v>
      </c>
      <c r="AT265" s="7">
        <f t="shared" si="69"/>
        <v>-70.093245720072872</v>
      </c>
      <c r="AU265" s="7">
        <f t="shared" si="69"/>
        <v>-87.033784924135844</v>
      </c>
      <c r="AV265" s="7">
        <f>(AV281* AV$17) * ((1 - AV226) / AV226)</f>
        <v>-94.014105611346764</v>
      </c>
      <c r="AW265" s="21"/>
    </row>
    <row r="266" spans="1:49" ht="16">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104.23626567414786</v>
      </c>
      <c r="AS266" s="7">
        <f t="shared" ref="AS266:AV266" si="70">IF(AS256 &gt;= 0, MIN(AS256, -AS262-AS264-AS265), 0)</f>
        <v>132.10721664348574</v>
      </c>
      <c r="AT266" s="7">
        <f t="shared" si="70"/>
        <v>70.093245720072872</v>
      </c>
      <c r="AU266" s="7">
        <f t="shared" si="70"/>
        <v>87.033784924135844</v>
      </c>
      <c r="AV266" s="7">
        <f t="shared" si="70"/>
        <v>94.014105611346764</v>
      </c>
      <c r="AW266" s="21"/>
    </row>
    <row r="267" spans="1:49" ht="16">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2"/>
      <c r="AR267" s="431">
        <f>SUM(AR262:AR266)</f>
        <v>0</v>
      </c>
      <c r="AS267" s="431">
        <f t="shared" ref="AS267:AV267" si="71">SUM(AS262:AS266)</f>
        <v>0</v>
      </c>
      <c r="AT267" s="431">
        <f t="shared" si="71"/>
        <v>0</v>
      </c>
      <c r="AU267" s="431">
        <f t="shared" si="71"/>
        <v>0</v>
      </c>
      <c r="AV267" s="431">
        <f t="shared" si="71"/>
        <v>0</v>
      </c>
      <c r="AW267" s="21"/>
    </row>
    <row r="268" spans="1:49" ht="16">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13.385344596309579</v>
      </c>
      <c r="AS272" s="7">
        <f t="shared" ref="AS272:AU272" si="72">MAX( AS256 - AS266, 0)</f>
        <v>0.75464595356299924</v>
      </c>
      <c r="AT272" s="7">
        <f t="shared" si="72"/>
        <v>2.0920543504985289</v>
      </c>
      <c r="AU272" s="7">
        <f t="shared" si="72"/>
        <v>2.3036877855809621</v>
      </c>
      <c r="AV272" s="7">
        <f>MAX( AV256 - AV266, 0)</f>
        <v>2.6021703384440684</v>
      </c>
      <c r="AW272" s="21"/>
    </row>
    <row r="273" spans="1:49" ht="16">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3.3463361490773949</v>
      </c>
      <c r="AS274" s="7">
        <f t="shared" si="73"/>
        <v>0.18866148839074981</v>
      </c>
      <c r="AT274" s="7">
        <f t="shared" si="73"/>
        <v>0.52301358762463224</v>
      </c>
      <c r="AU274" s="7">
        <f t="shared" si="73"/>
        <v>0.57592194639524052</v>
      </c>
      <c r="AV274" s="7">
        <f>AV272 * AV273</f>
        <v>0.65054258461101711</v>
      </c>
      <c r="AW274" s="21"/>
    </row>
    <row r="275" spans="1:49" ht="16">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-27.131662349681562</v>
      </c>
      <c r="AS281" s="8">
        <f>InputSummary!AS281</f>
        <v>-33.315165602573281</v>
      </c>
      <c r="AT281" s="8">
        <f>InputSummary!AT281</f>
        <v>-16.99993326748773</v>
      </c>
      <c r="AU281" s="8">
        <f>InputSummary!AU281</f>
        <v>-20.624038504408205</v>
      </c>
      <c r="AV281" s="8">
        <f>InputSummary!AV281</f>
        <v>-21.834666565269888</v>
      </c>
      <c r="AW281" s="8"/>
    </row>
    <row r="282" spans="1:49" ht="16">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1.5418188657920666</v>
      </c>
      <c r="AS282" s="8">
        <f>InputSummary!AS286</f>
        <v>1.5421689490890813</v>
      </c>
      <c r="AT282" s="8">
        <f>InputSummary!AT286</f>
        <v>1.1986919632990878</v>
      </c>
      <c r="AU282" s="8">
        <f>InputSummary!AU286</f>
        <v>1.2051150219812068</v>
      </c>
      <c r="AV282" s="8">
        <f>InputSummary!AV286</f>
        <v>1.2030871425295599</v>
      </c>
      <c r="AW282" s="7"/>
    </row>
    <row r="283" spans="1:49" ht="16">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1.5418188657920666</v>
      </c>
      <c r="AS286" s="7">
        <f t="shared" si="75"/>
        <v>1.5421689490890813</v>
      </c>
      <c r="AT286" s="7">
        <f t="shared" si="75"/>
        <v>1.1986919632990878</v>
      </c>
      <c r="AU286" s="7">
        <f t="shared" si="75"/>
        <v>1.2051150219812068</v>
      </c>
      <c r="AV286" s="7">
        <f t="shared" si="75"/>
        <v>1.2030871425295599</v>
      </c>
      <c r="AW286" s="7"/>
    </row>
    <row r="287" spans="1:49" ht="16">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-25.589843483889496</v>
      </c>
      <c r="AS288" s="463">
        <f t="shared" ref="AS288:AV288" si="76">(AS281+AS286) * AS284</f>
        <v>-31.772996653484199</v>
      </c>
      <c r="AT288" s="463">
        <f t="shared" si="76"/>
        <v>-15.801241304188643</v>
      </c>
      <c r="AU288" s="463">
        <f t="shared" si="76"/>
        <v>-19.418923482426997</v>
      </c>
      <c r="AV288" s="463">
        <f t="shared" si="76"/>
        <v>-20.631579422740327</v>
      </c>
      <c r="AW288" s="7"/>
    </row>
    <row r="289" spans="1:49" ht="16">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-98.312801094470103</v>
      </c>
      <c r="AS292" s="2">
        <f>(AS288 * AS$17) * ((1 - AS226) / AS226)</f>
        <v>-125.99193419558964</v>
      </c>
      <c r="AT292" s="2">
        <f>(AT288 * AT$17) * ((1 - AT226) / AT226)</f>
        <v>-65.150861005722987</v>
      </c>
      <c r="AU292" s="2">
        <f>(AU288 * AU$17) * ((1 - AU226) / AU226)</f>
        <v>-81.948179521996039</v>
      </c>
      <c r="AV292" s="2">
        <f>(AV288 * AV$17) * ((1 - AV226) / AV226)</f>
        <v>-88.833941245689118</v>
      </c>
      <c r="AW292" s="2"/>
    </row>
    <row r="293" spans="1:49" ht="16">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-98.312801094470103</v>
      </c>
      <c r="AS299" s="464">
        <f t="shared" ref="AS299:AV299" si="79">IF(AS292&lt;0,AS292, AS296 * IF(AS297, -AS294,AS292))</f>
        <v>-125.99193419558964</v>
      </c>
      <c r="AT299" s="464">
        <f t="shared" si="79"/>
        <v>-65.150861005722987</v>
      </c>
      <c r="AU299" s="464">
        <f t="shared" si="79"/>
        <v>-81.948179521996039</v>
      </c>
      <c r="AV299" s="464">
        <f t="shared" si="79"/>
        <v>-88.833941245689118</v>
      </c>
      <c r="AW299" s="2"/>
    </row>
    <row r="300" spans="1:49" ht="16">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1995.7926750321012</v>
      </c>
      <c r="AS313" s="8">
        <f>'Return&amp;RAV'!AS46</f>
        <v>2066.6502534003771</v>
      </c>
      <c r="AT313" s="8">
        <f>'Return&amp;RAV'!AT46</f>
        <v>2196.3200372172564</v>
      </c>
      <c r="AU313" s="8">
        <f>'Return&amp;RAV'!AU46</f>
        <v>2334.131029305539</v>
      </c>
      <c r="AV313" s="8">
        <f>'Return&amp;RAV'!AV46</f>
        <v>2477.6454645485023</v>
      </c>
      <c r="AW313" s="2"/>
    </row>
    <row r="314" spans="1:49" ht="16">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1.3499787750115915</v>
      </c>
      <c r="AT314" s="92">
        <f>InputSummary!AT195</f>
        <v>1.3914988566761421</v>
      </c>
      <c r="AU314" s="92">
        <f>InputSummary!AU195</f>
        <v>1.420885888499307</v>
      </c>
      <c r="AV314" s="92">
        <f>InputSummary!AV195</f>
        <v>1.4485259715670376</v>
      </c>
      <c r="AW314" s="2"/>
    </row>
    <row r="315" spans="1:49" ht="16">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1527.07431544</v>
      </c>
      <c r="AS316" s="8">
        <f>InputSummary!AS282</f>
        <v>1592</v>
      </c>
      <c r="AT316" s="8">
        <f>InputSummary!AT282</f>
        <v>1799.5685129055507</v>
      </c>
      <c r="AU316" s="8">
        <f>InputSummary!AU282</f>
        <v>1973.1011818188254</v>
      </c>
      <c r="AV316" s="8">
        <f>InputSummary!AV282</f>
        <v>2108.4226689379789</v>
      </c>
      <c r="AW316" s="2"/>
    </row>
    <row r="317" spans="1:49" ht="16">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2595.8746187463457</v>
      </c>
      <c r="AS317" s="7">
        <f t="shared" si="82"/>
        <v>2789.9339774628361</v>
      </c>
      <c r="AT317" s="7">
        <f t="shared" si="82"/>
        <v>3056.1768206827142</v>
      </c>
      <c r="AU317" s="7">
        <f t="shared" si="82"/>
        <v>3316.5338414486027</v>
      </c>
      <c r="AV317" s="7">
        <f t="shared" si="82"/>
        <v>3588.9338037337834</v>
      </c>
      <c r="AW317" s="2"/>
    </row>
    <row r="318" spans="1:49" ht="16">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0.58826967389414464</v>
      </c>
      <c r="AS319" s="185">
        <f t="shared" si="83"/>
        <v>0.57062282221020999</v>
      </c>
      <c r="AT319" s="185">
        <f t="shared" si="83"/>
        <v>0.58882997237821733</v>
      </c>
      <c r="AU319" s="185">
        <f t="shared" si="83"/>
        <v>0.5949287045287649</v>
      </c>
      <c r="AV319" s="185">
        <f t="shared" si="83"/>
        <v>0.58747884030194708</v>
      </c>
      <c r="AW319" s="2"/>
    </row>
    <row r="320" spans="1:49" ht="16">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6">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3"/>
      <c r="AR321" s="432" t="b">
        <f t="shared" ref="AR321:AV321" si="84">AR319&gt;AR320</f>
        <v>0</v>
      </c>
      <c r="AS321" s="432" t="b">
        <f t="shared" si="84"/>
        <v>0</v>
      </c>
      <c r="AT321" s="432" t="b">
        <f t="shared" si="84"/>
        <v>0</v>
      </c>
      <c r="AU321" s="432" t="b">
        <f t="shared" si="84"/>
        <v>0</v>
      </c>
      <c r="AV321" s="432" t="b">
        <f t="shared" si="84"/>
        <v>0</v>
      </c>
      <c r="AW321" s="2"/>
    </row>
    <row r="322" spans="1:49" ht="16">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77.828915998955878</v>
      </c>
      <c r="AS325" s="8">
        <f>InputSummary!AS283</f>
        <v>78.676934930000016</v>
      </c>
      <c r="AT325" s="8">
        <f>InputSummary!AT283</f>
        <v>89.745244534881294</v>
      </c>
      <c r="AU325" s="8">
        <f>InputSummary!AU283</f>
        <v>96.338285149734133</v>
      </c>
      <c r="AV325" s="8">
        <f>InputSummary!AV283</f>
        <v>98.218415946533938</v>
      </c>
      <c r="AW325" s="2"/>
    </row>
    <row r="326" spans="1:49" ht="16">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83.936772552541782</v>
      </c>
      <c r="AS326" s="2">
        <f xml:space="preserve"> - (AS203+AS204)</f>
        <v>80.213866968560637</v>
      </c>
      <c r="AT326" s="2">
        <f xml:space="preserve"> - (AT203+AT204)</f>
        <v>91.643470362809921</v>
      </c>
      <c r="AU326" s="2">
        <f xml:space="preserve"> - (AU203+AU204)</f>
        <v>96.255964312751516</v>
      </c>
      <c r="AV326" s="2">
        <f xml:space="preserve"> - (AV203+AV204)</f>
        <v>105.74541103422357</v>
      </c>
      <c r="AW326" s="2"/>
    </row>
    <row r="327" spans="1:49" ht="16">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3"/>
      <c r="AR327" s="432" t="b">
        <f t="shared" ref="AR327:AV327" si="85">AR325&gt;AR326</f>
        <v>0</v>
      </c>
      <c r="AS327" s="432" t="b">
        <f t="shared" si="85"/>
        <v>0</v>
      </c>
      <c r="AT327" s="432" t="b">
        <f t="shared" si="85"/>
        <v>0</v>
      </c>
      <c r="AU327" s="432" t="b">
        <f t="shared" si="85"/>
        <v>1</v>
      </c>
      <c r="AV327" s="432" t="b">
        <f t="shared" si="85"/>
        <v>0</v>
      </c>
      <c r="AW327" s="2"/>
    </row>
    <row r="328" spans="1:49" ht="16">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1" priority="9" operator="equal">
      <formula>FALSE()</formula>
    </cfRule>
  </conditionalFormatting>
  <conditionalFormatting sqref="AJ284:AU284 AR284:AV285">
    <cfRule type="cellIs" dxfId="70" priority="16" operator="equal">
      <formula>FALSE()</formula>
    </cfRule>
  </conditionalFormatting>
  <conditionalFormatting sqref="AJ296:AV297">
    <cfRule type="cellIs" dxfId="69" priority="10" operator="equal">
      <formula>FALSE()</formula>
    </cfRule>
  </conditionalFormatting>
  <conditionalFormatting sqref="AJ321:AV321">
    <cfRule type="cellIs" dxfId="68" priority="8" operator="equal">
      <formula>FALSE()</formula>
    </cfRule>
  </conditionalFormatting>
  <conditionalFormatting sqref="AJ327:AV327">
    <cfRule type="cellIs" dxfId="67" priority="7" operator="equal">
      <formula>FALSE()</formula>
    </cfRule>
  </conditionalFormatting>
  <conditionalFormatting sqref="AJ331:AV331">
    <cfRule type="cellIs" dxfId="66" priority="6" operator="equal">
      <formula>FALSE()</formula>
    </cfRule>
  </conditionalFormatting>
  <conditionalFormatting sqref="AM2">
    <cfRule type="expression" dxfId="65" priority="1">
      <formula>mac_sensitivity=2</formula>
    </cfRule>
    <cfRule type="expression" dxfId="64" priority="2">
      <formula>mac_sensitivity=1</formula>
    </cfRule>
  </conditionalFormatting>
  <conditionalFormatting sqref="AM3">
    <cfRule type="expression" dxfId="63" priority="3">
      <formula>$AM$3="OK"</formula>
    </cfRule>
  </conditionalFormatting>
  <conditionalFormatting sqref="AR12:AR13 AJ84:AV84">
    <cfRule type="cellIs" dxfId="62" priority="22" operator="equal">
      <formula>FALSE()</formula>
    </cfRule>
  </conditionalFormatting>
  <conditionalFormatting sqref="AR176:AV176">
    <cfRule type="cellIs" dxfId="61" priority="20" operator="equal">
      <formula>FALSE()</formula>
    </cfRule>
  </conditionalFormatting>
  <conditionalFormatting sqref="AR327:AV328">
    <cfRule type="cellIs" dxfId="60"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90" zoomScaleNormal="90" workbookViewId="0">
      <pane xSplit="10" ySplit="4" topLeftCell="AR5" activePane="bottomRight" state="frozen"/>
      <selection pane="topRight" activeCell="K1" sqref="K1"/>
      <selection pane="bottomLeft" activeCell="A5" sqref="A5"/>
      <selection pane="bottomRight" activeCell="AS8" sqref="AS8"/>
    </sheetView>
  </sheetViews>
  <sheetFormatPr defaultColWidth="0" defaultRowHeight="13.5" zeroHeight="1" outlineLevelCol="1"/>
  <cols>
    <col min="1" max="4" width="1.4609375" customWidth="1"/>
    <col min="5" max="5" width="65" customWidth="1"/>
    <col min="6" max="6" width="1.84375" customWidth="1"/>
    <col min="7" max="7" width="12" customWidth="1"/>
    <col min="8" max="8" width="2" customWidth="1"/>
    <col min="9" max="9" width="10.4609375" customWidth="1"/>
    <col min="10" max="10" width="1.4609375" customWidth="1" collapsed="1"/>
    <col min="11" max="35" width="9.61328125" hidden="1" customWidth="1" outlineLevel="1"/>
    <col min="36" max="48" width="9.61328125" customWidth="1"/>
    <col min="49" max="49" width="6" customWidth="1"/>
    <col min="50" max="52" width="9" hidden="1" customWidth="1"/>
    <col min="53" max="99" width="0" hidden="1" customWidth="1"/>
    <col min="100" max="16384" width="9" hidden="1"/>
  </cols>
  <sheetData>
    <row r="1" spans="1:52" ht="18.5">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77.992745504820945</v>
      </c>
      <c r="AS8" s="8">
        <f>TIM!AS66</f>
        <v>89.002664631766478</v>
      </c>
      <c r="AT8" s="8">
        <f>TIM!AT66</f>
        <v>93.034463338683722</v>
      </c>
      <c r="AU8" s="8">
        <f>TIM!AU66</f>
        <v>92.743284594355814</v>
      </c>
      <c r="AV8" s="8">
        <f>TIM!AV66</f>
        <v>92.488539912180187</v>
      </c>
    </row>
    <row r="9" spans="1:52" ht="16">
      <c r="E9" s="7" t="s">
        <v>916</v>
      </c>
      <c r="F9" s="7"/>
      <c r="G9" s="2" t="s">
        <v>101</v>
      </c>
      <c r="H9" s="288"/>
      <c r="I9" s="2" t="s">
        <v>1186</v>
      </c>
      <c r="AJ9" s="8"/>
      <c r="AK9" s="8"/>
      <c r="AL9" s="8"/>
      <c r="AM9" s="8"/>
      <c r="AN9" s="8"/>
      <c r="AO9" s="8"/>
      <c r="AP9" s="8"/>
      <c r="AQ9" s="435"/>
      <c r="AR9" s="8">
        <f>-'Return&amp;RAV'!AR45</f>
        <v>168.95803808081689</v>
      </c>
      <c r="AS9" s="8">
        <f>-'Return&amp;RAV'!AS45</f>
        <v>166.87907457633577</v>
      </c>
      <c r="AT9" s="8">
        <f>-'Return&amp;RAV'!AT45</f>
        <v>131.01026530217894</v>
      </c>
      <c r="AU9" s="8">
        <f>-'Return&amp;RAV'!AU45</f>
        <v>130.89265497439879</v>
      </c>
      <c r="AV9" s="8">
        <f>-'Return&amp;RAV'!AV45</f>
        <v>130.17479341457448</v>
      </c>
    </row>
    <row r="10" spans="1:52" ht="16">
      <c r="E10" s="7" t="s">
        <v>899</v>
      </c>
      <c r="F10" s="7"/>
      <c r="G10" s="2" t="s">
        <v>101</v>
      </c>
      <c r="H10" s="288"/>
      <c r="I10" s="2" t="s">
        <v>1187</v>
      </c>
      <c r="AJ10" s="8"/>
      <c r="AK10" s="8"/>
      <c r="AL10" s="8"/>
      <c r="AM10" s="8"/>
      <c r="AN10" s="8"/>
      <c r="AO10" s="8"/>
      <c r="AP10" s="8"/>
      <c r="AQ10" s="435"/>
      <c r="AR10" s="8">
        <f>'Return&amp;RAV'!AR30</f>
        <v>77.127039657707257</v>
      </c>
      <c r="AS10" s="8">
        <f>'Return&amp;RAV'!AS30</f>
        <v>82.333734088004775</v>
      </c>
      <c r="AT10" s="8">
        <f>'Return&amp;RAV'!AT30</f>
        <v>85.474640753333063</v>
      </c>
      <c r="AU10" s="8">
        <f>'Return&amp;RAV'!AU30</f>
        <v>92.878667773230191</v>
      </c>
      <c r="AV10" s="8">
        <f>'Return&amp;RAV'!AV30</f>
        <v>97.354253076145795</v>
      </c>
    </row>
    <row r="11" spans="1:52" ht="16">
      <c r="E11" s="7" t="s">
        <v>729</v>
      </c>
      <c r="F11" s="21"/>
      <c r="G11" s="2" t="s">
        <v>101</v>
      </c>
      <c r="H11" s="288"/>
      <c r="I11" s="2" t="s">
        <v>1188</v>
      </c>
      <c r="AJ11" s="8"/>
      <c r="AK11" s="8"/>
      <c r="AL11" s="8"/>
      <c r="AM11" s="8"/>
      <c r="AN11" s="8"/>
      <c r="AO11" s="8"/>
      <c r="AP11" s="8"/>
      <c r="AQ11" s="435"/>
      <c r="AR11" s="8">
        <f>InputSummary!AR97</f>
        <v>99.956736396618226</v>
      </c>
      <c r="AS11" s="8">
        <f>InputSummary!AS97</f>
        <v>52.765733669400298</v>
      </c>
      <c r="AT11" s="8">
        <f>InputSummary!AT97</f>
        <v>53.012204504069928</v>
      </c>
      <c r="AU11" s="8">
        <f>InputSummary!AU97</f>
        <v>53.211202321842094</v>
      </c>
      <c r="AV11" s="8">
        <f>InputSummary!AV97</f>
        <v>68.016212389135134</v>
      </c>
    </row>
    <row r="12" spans="1:52" ht="16">
      <c r="E12" s="133" t="s">
        <v>1189</v>
      </c>
      <c r="F12" s="21"/>
      <c r="G12" s="180" t="s">
        <v>101</v>
      </c>
      <c r="H12" s="288"/>
      <c r="I12" s="2"/>
      <c r="AJ12" s="538"/>
      <c r="AK12" s="538"/>
      <c r="AL12" s="538"/>
      <c r="AM12" s="538"/>
      <c r="AN12" s="538"/>
      <c r="AO12" s="538"/>
      <c r="AP12" s="538"/>
      <c r="AQ12" s="539"/>
      <c r="AR12" s="538">
        <f t="shared" ref="AR12:AV12" si="0">SUM(AR8:AR11)</f>
        <v>424.03455963996333</v>
      </c>
      <c r="AS12" s="538">
        <f t="shared" si="0"/>
        <v>390.98120696550728</v>
      </c>
      <c r="AT12" s="538">
        <f t="shared" si="0"/>
        <v>362.53157389826566</v>
      </c>
      <c r="AU12" s="538">
        <f t="shared" si="0"/>
        <v>369.72580966382691</v>
      </c>
      <c r="AV12" s="538">
        <f t="shared" si="0"/>
        <v>388.03379879203561</v>
      </c>
    </row>
    <row r="13" spans="1:52" ht="16">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6">
      <c r="E14" s="21" t="s">
        <v>261</v>
      </c>
      <c r="F14" s="21"/>
      <c r="G14" s="2" t="s">
        <v>101</v>
      </c>
      <c r="H14" s="288"/>
      <c r="I14" s="2" t="s">
        <v>1192</v>
      </c>
      <c r="AJ14" s="8"/>
      <c r="AK14" s="8"/>
      <c r="AL14" s="8"/>
      <c r="AM14" s="8"/>
      <c r="AN14" s="8"/>
      <c r="AO14" s="8"/>
      <c r="AP14" s="8"/>
      <c r="AQ14" s="435"/>
      <c r="AR14" s="8">
        <f>'Finance&amp;Tax'!AR185</f>
        <v>4.5745820356418712</v>
      </c>
      <c r="AS14" s="8">
        <f>'Finance&amp;Tax'!AS185</f>
        <v>0</v>
      </c>
      <c r="AT14" s="8">
        <f>'Finance&amp;Tax'!AT185</f>
        <v>0</v>
      </c>
      <c r="AU14" s="8">
        <f>'Finance&amp;Tax'!AU185</f>
        <v>0</v>
      </c>
      <c r="AV14" s="8">
        <f>'Finance&amp;Tax'!AV185</f>
        <v>0</v>
      </c>
    </row>
    <row r="15" spans="1:52" ht="16">
      <c r="E15" s="7" t="s">
        <v>1193</v>
      </c>
      <c r="F15" s="21"/>
      <c r="G15" s="2" t="s">
        <v>101</v>
      </c>
      <c r="H15" s="288"/>
      <c r="I15" s="2" t="s">
        <v>1194</v>
      </c>
      <c r="AJ15" s="8"/>
      <c r="AK15" s="8"/>
      <c r="AL15" s="8"/>
      <c r="AM15" s="8"/>
      <c r="AN15" s="8"/>
      <c r="AO15" s="8"/>
      <c r="AP15" s="8"/>
      <c r="AQ15" s="435"/>
      <c r="AR15" s="8">
        <f>TIM!AR76</f>
        <v>0</v>
      </c>
      <c r="AS15" s="8">
        <f>TIM!AS76</f>
        <v>0</v>
      </c>
      <c r="AT15" s="8">
        <f>TIM!AT76</f>
        <v>0</v>
      </c>
      <c r="AU15" s="8">
        <f>TIM!AU76</f>
        <v>0</v>
      </c>
      <c r="AV15" s="8">
        <f>TIM!AV76</f>
        <v>0</v>
      </c>
    </row>
    <row r="16" spans="1:52" ht="16">
      <c r="E16" s="7" t="s">
        <v>1195</v>
      </c>
      <c r="F16" s="21"/>
      <c r="G16" s="2" t="s">
        <v>101</v>
      </c>
      <c r="H16" s="288"/>
      <c r="I16" s="2" t="s">
        <v>1196</v>
      </c>
      <c r="AJ16" s="8"/>
      <c r="AK16" s="8"/>
      <c r="AL16" s="8"/>
      <c r="AM16" s="8"/>
      <c r="AN16" s="8"/>
      <c r="AO16" s="8"/>
      <c r="AP16" s="8"/>
      <c r="AQ16" s="435"/>
      <c r="AR16" s="8">
        <f>InputSummary!AR111</f>
        <v>4.0922972421648911</v>
      </c>
      <c r="AS16" s="8">
        <f>InputSummary!AS111</f>
        <v>7.6012650256452012</v>
      </c>
      <c r="AT16" s="8">
        <f>InputSummary!AT111</f>
        <v>5.1868029461017002</v>
      </c>
      <c r="AU16" s="8">
        <f>InputSummary!AU111</f>
        <v>4.4894937000000112</v>
      </c>
      <c r="AV16" s="8">
        <f>InputSummary!AV111</f>
        <v>9.9303147964104745</v>
      </c>
    </row>
    <row r="17" spans="1:48" ht="16">
      <c r="E17" s="7" t="s">
        <v>192</v>
      </c>
      <c r="F17" s="21"/>
      <c r="G17" s="2" t="s">
        <v>101</v>
      </c>
      <c r="H17" s="288"/>
      <c r="I17" s="2" t="s">
        <v>1197</v>
      </c>
      <c r="AJ17" s="8"/>
      <c r="AK17" s="8"/>
      <c r="AL17" s="8"/>
      <c r="AM17" s="8"/>
      <c r="AN17" s="8"/>
      <c r="AO17" s="8"/>
      <c r="AP17" s="8"/>
      <c r="AQ17" s="435"/>
      <c r="AR17" s="8">
        <f>InputSummary!AR123</f>
        <v>1.0124555908876867</v>
      </c>
      <c r="AS17" s="8">
        <f>InputSummary!AS123</f>
        <v>0.92604130218589942</v>
      </c>
      <c r="AT17" s="8">
        <f>InputSummary!AT123</f>
        <v>4.8952702745197563</v>
      </c>
      <c r="AU17" s="8">
        <f>InputSummary!AU123</f>
        <v>0</v>
      </c>
      <c r="AV17" s="8">
        <f>InputSummary!AV123</f>
        <v>0</v>
      </c>
    </row>
    <row r="18" spans="1:48" ht="16">
      <c r="E18" s="7" t="s">
        <v>558</v>
      </c>
      <c r="F18" s="21"/>
      <c r="G18" s="2" t="s">
        <v>101</v>
      </c>
      <c r="H18" s="288"/>
      <c r="I18" s="2" t="s">
        <v>210</v>
      </c>
      <c r="AJ18" s="8"/>
      <c r="AK18" s="8"/>
      <c r="AL18" s="8"/>
      <c r="AM18" s="8"/>
      <c r="AN18" s="8"/>
      <c r="AO18" s="8"/>
      <c r="AP18" s="8"/>
      <c r="AQ18" s="435"/>
      <c r="AR18" s="8">
        <f>InputSummary!AR149</f>
        <v>-0.42276549687748666</v>
      </c>
      <c r="AS18" s="8">
        <f>InputSummary!AS149</f>
        <v>-0.479376172028672</v>
      </c>
      <c r="AT18" s="8">
        <f>InputSummary!AT149</f>
        <v>-3.0971213125170927E-2</v>
      </c>
      <c r="AU18" s="8">
        <f>InputSummary!AU149</f>
        <v>-3.0821056147726233E-2</v>
      </c>
      <c r="AV18" s="8">
        <f>InputSummary!AV149</f>
        <v>-3.061316175368578E-2</v>
      </c>
    </row>
    <row r="19" spans="1:48" ht="16">
      <c r="E19" s="133" t="s">
        <v>1198</v>
      </c>
      <c r="F19" s="21"/>
      <c r="G19" s="180" t="s">
        <v>101</v>
      </c>
      <c r="H19" s="288"/>
      <c r="I19" s="2"/>
      <c r="AJ19" s="540"/>
      <c r="AK19" s="540"/>
      <c r="AL19" s="540"/>
      <c r="AM19" s="540"/>
      <c r="AN19" s="540"/>
      <c r="AO19" s="540"/>
      <c r="AP19" s="540"/>
      <c r="AQ19" s="541"/>
      <c r="AR19" s="540">
        <f t="shared" ref="AR19:AV19" si="1">SUM(AR12:AR18)</f>
        <v>433.29112901178024</v>
      </c>
      <c r="AS19" s="540">
        <f t="shared" si="1"/>
        <v>399.02913712130976</v>
      </c>
      <c r="AT19" s="540">
        <f t="shared" si="1"/>
        <v>372.58267590576196</v>
      </c>
      <c r="AU19" s="540">
        <f t="shared" si="1"/>
        <v>374.18448230767922</v>
      </c>
      <c r="AV19" s="540">
        <f t="shared" si="1"/>
        <v>397.93350042669238</v>
      </c>
    </row>
    <row r="20" spans="1:48" ht="16">
      <c r="E20" s="21" t="s">
        <v>1087</v>
      </c>
      <c r="F20" s="21"/>
      <c r="G20" s="2" t="s">
        <v>101</v>
      </c>
      <c r="H20" s="288"/>
      <c r="I20" s="2" t="s">
        <v>1199</v>
      </c>
      <c r="AJ20" s="93"/>
      <c r="AK20" s="93"/>
      <c r="AL20" s="93"/>
      <c r="AM20" s="93"/>
      <c r="AN20" s="93"/>
      <c r="AO20" s="93"/>
      <c r="AP20" s="8"/>
      <c r="AQ20" s="435"/>
      <c r="AR20" s="8">
        <f>'Finance&amp;Tax'!AR240</f>
        <v>4.1012756035216356</v>
      </c>
      <c r="AS20" s="8">
        <f>'Finance&amp;Tax'!AS240</f>
        <v>1.5628831781221042</v>
      </c>
      <c r="AT20" s="8">
        <f>'Finance&amp;Tax'!AT240</f>
        <v>1.2419164035426926</v>
      </c>
      <c r="AU20" s="8">
        <f>'Finance&amp;Tax'!AU240</f>
        <v>1.262280302042796</v>
      </c>
      <c r="AV20" s="8">
        <f>'Finance&amp;Tax'!AV240</f>
        <v>1.2767760576421814</v>
      </c>
    </row>
    <row r="21" spans="1:48" ht="16">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6">
      <c r="E22" s="133" t="s">
        <v>1201</v>
      </c>
      <c r="F22" s="21"/>
      <c r="G22" s="180" t="s">
        <v>101</v>
      </c>
      <c r="H22" s="288"/>
      <c r="I22" s="2"/>
      <c r="AJ22" s="540"/>
      <c r="AK22" s="540"/>
      <c r="AL22" s="540"/>
      <c r="AM22" s="540"/>
      <c r="AN22" s="540"/>
      <c r="AO22" s="540"/>
      <c r="AP22" s="540"/>
      <c r="AQ22" s="541"/>
      <c r="AR22" s="563">
        <f t="shared" ref="AR22:AV22" si="2">SUM(AR19:AR21)</f>
        <v>437.39240461530187</v>
      </c>
      <c r="AS22" s="563">
        <f t="shared" si="2"/>
        <v>400.59202029943185</v>
      </c>
      <c r="AT22" s="563">
        <f t="shared" si="2"/>
        <v>373.82459230930465</v>
      </c>
      <c r="AU22" s="563">
        <f t="shared" si="2"/>
        <v>375.44676260972199</v>
      </c>
      <c r="AV22" s="563">
        <f t="shared" si="2"/>
        <v>399.21027648433454</v>
      </c>
    </row>
    <row r="23" spans="1:48" ht="16">
      <c r="E23" s="133"/>
      <c r="F23" s="7"/>
      <c r="G23" s="180"/>
      <c r="AJ23" s="85"/>
      <c r="AK23" s="85"/>
      <c r="AL23" s="85"/>
      <c r="AM23" s="85"/>
      <c r="AN23" s="85"/>
      <c r="AO23" s="85"/>
      <c r="AP23" s="85"/>
      <c r="AQ23" s="240"/>
      <c r="AR23" s="564"/>
      <c r="AS23" s="564"/>
      <c r="AT23" s="564"/>
      <c r="AU23" s="564"/>
      <c r="AV23" s="564"/>
    </row>
    <row r="24" spans="1:48">
      <c r="AQ24" s="313"/>
      <c r="AR24" s="562"/>
      <c r="AS24" s="562"/>
      <c r="AT24" s="562"/>
      <c r="AU24" s="562"/>
      <c r="AV24" s="562"/>
    </row>
    <row r="25" spans="1:48" ht="16">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v>9.1607758689633556E-3</v>
      </c>
      <c r="AS25" s="37">
        <v>2.6823998189399845E-2</v>
      </c>
      <c r="AT25" s="37">
        <v>4.8154392808726243E-2</v>
      </c>
      <c r="AU25" s="37">
        <v>7.2370399116721273E-2</v>
      </c>
      <c r="AV25" s="37">
        <v>-7.2952002061392704</v>
      </c>
    </row>
    <row r="26" spans="1:48">
      <c r="AR26" s="480"/>
      <c r="AS26" s="480"/>
      <c r="AT26" s="480"/>
      <c r="AU26" s="480"/>
      <c r="AV26" s="480"/>
    </row>
    <row r="27" spans="1:48">
      <c r="AR27" s="565">
        <v>0</v>
      </c>
      <c r="AS27" s="565">
        <v>0</v>
      </c>
      <c r="AT27" s="565">
        <v>-1.0408553425008904E-2</v>
      </c>
      <c r="AU27" s="565">
        <v>2.3827821783584113E-3</v>
      </c>
      <c r="AV27" s="565">
        <v>-7.3789690775864756</v>
      </c>
    </row>
  </sheetData>
  <conditionalFormatting sqref="AM2">
    <cfRule type="expression" dxfId="59" priority="1">
      <formula>mac_sensitivity=2</formula>
    </cfRule>
    <cfRule type="expression" dxfId="58" priority="2">
      <formula>mac_sensitivity=1</formula>
    </cfRule>
  </conditionalFormatting>
  <conditionalFormatting sqref="AM3">
    <cfRule type="expression" dxfId="5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146050</xdr:colOff>
                    <xdr:row>0</xdr:row>
                    <xdr:rowOff>31750</xdr:rowOff>
                  </from>
                  <to>
                    <xdr:col>8</xdr:col>
                    <xdr:colOff>0</xdr:colOff>
                    <xdr:row>0</xdr:row>
                    <xdr:rowOff>165100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609375" customWidth="1"/>
    <col min="5" max="5" width="65" customWidth="1"/>
    <col min="6" max="6" width="3" customWidth="1"/>
    <col min="7" max="7" width="12" customWidth="1"/>
    <col min="8" max="8" width="14.76562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2" width="9" hidden="1" customWidth="1"/>
    <col min="53" max="16384" width="9" hidden="1"/>
  </cols>
  <sheetData>
    <row r="1" spans="1:102" ht="18.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
      <c r="I12" s="182"/>
      <c r="AQ12" s="147"/>
    </row>
    <row r="13" spans="1:102" s="82" customFormat="1" ht="16">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1941.1048366736363</v>
      </c>
      <c r="AS14" s="400">
        <f>'Return&amp;RAV'!AS23</f>
        <v>1990.1708844258824</v>
      </c>
      <c r="AT14" s="400">
        <f>'Return&amp;RAV'!AT23</f>
        <v>2088.3046656700226</v>
      </c>
      <c r="AU14" s="400">
        <f>'Return&amp;RAV'!AU23</f>
        <v>2218.325527442169</v>
      </c>
      <c r="AV14" s="400">
        <f>'Return&amp;RAV'!AV23</f>
        <v>2356.7440618465175</v>
      </c>
    </row>
    <row r="15" spans="1:102" s="82" customFormat="1" ht="16">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776.44193466945455</v>
      </c>
      <c r="AS15" s="449">
        <f t="shared" ref="AS15:AV15" si="0">AS14 * (1 - AS13)</f>
        <v>796.06835377035304</v>
      </c>
      <c r="AT15" s="449">
        <f t="shared" si="0"/>
        <v>835.3218662680091</v>
      </c>
      <c r="AU15" s="449">
        <f t="shared" si="0"/>
        <v>887.33021097686765</v>
      </c>
      <c r="AV15" s="449">
        <f t="shared" si="0"/>
        <v>942.69762473860703</v>
      </c>
    </row>
    <row r="16" spans="1:102" s="82" customFormat="1" ht="16">
      <c r="E16" s="194"/>
      <c r="G16" s="2"/>
      <c r="H16" s="133"/>
      <c r="AJ16" s="92"/>
      <c r="AK16" s="92"/>
      <c r="AL16" s="92"/>
      <c r="AM16" s="92"/>
      <c r="AN16" s="92"/>
      <c r="AO16" s="92"/>
      <c r="AP16" s="92"/>
      <c r="AQ16" s="215"/>
      <c r="AR16" s="92"/>
      <c r="AS16" s="92"/>
      <c r="AT16" s="92"/>
      <c r="AU16" s="92"/>
      <c r="AV16" s="92"/>
    </row>
    <row r="17" spans="1:49" s="82" customFormat="1" ht="16">
      <c r="E17" s="56" t="s">
        <v>1151</v>
      </c>
      <c r="G17" s="2" t="s">
        <v>101</v>
      </c>
      <c r="H17" s="21" t="s">
        <v>1152</v>
      </c>
      <c r="I17" s="438">
        <f>SUM(AR14:AV14)</f>
        <v>10594.649976058228</v>
      </c>
      <c r="AJ17" s="93"/>
      <c r="AK17" s="93"/>
      <c r="AL17" s="93"/>
      <c r="AM17" s="93"/>
      <c r="AN17" s="93"/>
      <c r="AO17" s="93"/>
      <c r="AP17" s="93"/>
      <c r="AQ17" s="241"/>
      <c r="AR17" s="93"/>
      <c r="AS17" s="93"/>
      <c r="AT17" s="93"/>
      <c r="AU17" s="93"/>
      <c r="AV17" s="93"/>
    </row>
    <row r="18" spans="1:49" s="82" customFormat="1" ht="16">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
      <c r="C19" s="194"/>
      <c r="D19" s="194"/>
      <c r="E19" s="56" t="s">
        <v>1153</v>
      </c>
      <c r="F19" s="194"/>
      <c r="G19" s="2" t="s">
        <v>101</v>
      </c>
      <c r="H19" s="21" t="s">
        <v>1154</v>
      </c>
      <c r="I19" s="440">
        <f>I17 * (1 - I18)</f>
        <v>4237.8599904232915</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
      <c r="E20" s="2"/>
      <c r="G20" s="2"/>
      <c r="AJ20" s="92"/>
      <c r="AK20" s="92"/>
      <c r="AL20" s="92"/>
      <c r="AM20" s="92"/>
      <c r="AN20" s="92"/>
      <c r="AO20" s="92"/>
      <c r="AP20" s="92"/>
      <c r="AQ20" s="215"/>
      <c r="AR20" s="92"/>
      <c r="AS20" s="92"/>
      <c r="AT20" s="92"/>
      <c r="AU20" s="92"/>
      <c r="AV20" s="92"/>
    </row>
    <row r="21" spans="1:49" s="21" customFormat="1" ht="16">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
      <c r="E22" s="346"/>
      <c r="G22" s="2"/>
      <c r="AJ22" s="92"/>
      <c r="AK22" s="92"/>
      <c r="AL22" s="92"/>
      <c r="AM22" s="92"/>
      <c r="AN22" s="92"/>
      <c r="AO22" s="92"/>
      <c r="AP22" s="92"/>
      <c r="AQ22" s="215"/>
      <c r="AR22" s="92"/>
      <c r="AS22" s="92"/>
      <c r="AT22" s="92"/>
      <c r="AU22" s="92"/>
      <c r="AV22" s="92"/>
    </row>
    <row r="23" spans="1:49" s="82" customFormat="1" ht="16">
      <c r="E23" s="56" t="s">
        <v>1156</v>
      </c>
      <c r="G23" s="2" t="s">
        <v>101</v>
      </c>
      <c r="AJ23" s="92"/>
      <c r="AK23" s="92"/>
      <c r="AL23" s="92"/>
      <c r="AM23" s="92"/>
      <c r="AN23" s="92"/>
      <c r="AO23" s="92"/>
      <c r="AP23" s="92"/>
      <c r="AQ23" s="215"/>
      <c r="AR23" s="8">
        <f>-(TIM!AR15 * (1 - TIM!AR17) + TIM!AR28 * (1 - TIM!AR30))</f>
        <v>15.688788907113786</v>
      </c>
      <c r="AS23" s="8">
        <f>-(TIM!AS15 * (1 - TIM!AS17) + TIM!AS28 * (1 - TIM!AS30))</f>
        <v>-4.1829765272193633</v>
      </c>
      <c r="AT23" s="8">
        <f>-(TIM!AT15 * (1 - TIM!AT17) + TIM!AT28 * (1 - TIM!AT30))</f>
        <v>-18.738390496955375</v>
      </c>
      <c r="AU23" s="8">
        <f>-(TIM!AU15 * (1 - TIM!AU17) + TIM!AU28 * (1 - TIM!AU30))</f>
        <v>-16.211199931696996</v>
      </c>
      <c r="AV23" s="8">
        <f>-(TIM!AV15 * (1 - TIM!AV17) + TIM!AV28 * (1 - TIM!AV30))</f>
        <v>-8.967614100176398</v>
      </c>
    </row>
    <row r="24" spans="1:49" s="82" customFormat="1" ht="16">
      <c r="E24" s="56" t="s">
        <v>1157</v>
      </c>
      <c r="G24" s="2" t="s">
        <v>101</v>
      </c>
      <c r="AJ24" s="92"/>
      <c r="AK24" s="92"/>
      <c r="AL24" s="92"/>
      <c r="AM24" s="92"/>
      <c r="AO24" s="437"/>
      <c r="AP24" s="92"/>
      <c r="AQ24" s="215"/>
      <c r="AR24" s="8">
        <f>Revenue!AR16</f>
        <v>4.0922972421648911</v>
      </c>
      <c r="AS24" s="8">
        <f>Revenue!AS16</f>
        <v>7.6012650256452012</v>
      </c>
      <c r="AT24" s="8">
        <f>Revenue!AT16</f>
        <v>5.1868029461017002</v>
      </c>
      <c r="AU24" s="8">
        <f>Revenue!AU16</f>
        <v>4.4894937000000112</v>
      </c>
      <c r="AV24" s="8">
        <f>Revenue!AV16</f>
        <v>9.9303147964104745</v>
      </c>
    </row>
    <row r="25" spans="1:49" s="82" customFormat="1" ht="16">
      <c r="E25" s="56" t="s">
        <v>1155</v>
      </c>
      <c r="G25" s="2" t="s">
        <v>101</v>
      </c>
      <c r="I25" s="393"/>
      <c r="AJ25" s="92"/>
      <c r="AK25" s="92"/>
      <c r="AL25" s="92"/>
      <c r="AM25" s="92"/>
      <c r="AN25" s="144"/>
      <c r="AO25" s="437"/>
      <c r="AP25" s="92"/>
      <c r="AQ25" s="215"/>
      <c r="AR25" s="447">
        <f>SUM(AR23:AR24)</f>
        <v>19.781086149278678</v>
      </c>
      <c r="AS25" s="431">
        <f t="shared" ref="AS25:AV25" si="1">SUM(AS23:AS24)</f>
        <v>3.4182884984258379</v>
      </c>
      <c r="AT25" s="431">
        <f t="shared" si="1"/>
        <v>-13.551587550853675</v>
      </c>
      <c r="AU25" s="431">
        <f t="shared" si="1"/>
        <v>-11.721706231696984</v>
      </c>
      <c r="AV25" s="431">
        <f t="shared" si="1"/>
        <v>0.9627006962340765</v>
      </c>
    </row>
    <row r="26" spans="1:49" s="82" customFormat="1" ht="16">
      <c r="E26" s="56"/>
      <c r="AJ26" s="92"/>
      <c r="AK26" s="92"/>
      <c r="AL26" s="92"/>
      <c r="AM26" s="92"/>
      <c r="AN26" s="250"/>
      <c r="AO26" s="400"/>
      <c r="AP26" s="92"/>
      <c r="AQ26" s="215"/>
      <c r="AR26" s="92"/>
      <c r="AS26" s="92"/>
      <c r="AT26" s="92"/>
      <c r="AU26" s="92"/>
      <c r="AV26" s="92"/>
    </row>
    <row r="27" spans="1:49" s="82" customFormat="1" ht="16">
      <c r="E27" s="56" t="s">
        <v>1158</v>
      </c>
      <c r="F27"/>
      <c r="G27" s="2" t="s">
        <v>246</v>
      </c>
      <c r="H27" s="82" t="s">
        <v>1159</v>
      </c>
      <c r="I27" s="289">
        <f>SUM(AR25:AV25)/SUM(AR15:AV15)</f>
        <v>-2.6221216395142742E-4</v>
      </c>
      <c r="AJ27" s="92"/>
      <c r="AK27" s="92"/>
      <c r="AL27" s="92"/>
      <c r="AM27" s="92"/>
      <c r="AN27" s="436"/>
      <c r="AO27" s="400"/>
      <c r="AP27" s="92"/>
      <c r="AQ27" s="215"/>
      <c r="AR27" s="92"/>
      <c r="AS27" s="92"/>
      <c r="AT27" s="92"/>
      <c r="AU27" s="92"/>
      <c r="AV27" s="92"/>
    </row>
    <row r="28" spans="1:49" s="82" customFormat="1" ht="16">
      <c r="E28" s="56"/>
      <c r="F28"/>
      <c r="G28" s="2"/>
      <c r="AJ28" s="92"/>
      <c r="AK28" s="92"/>
      <c r="AL28" s="92"/>
      <c r="AM28" s="92"/>
      <c r="AN28" s="92"/>
      <c r="AO28" s="437"/>
      <c r="AP28" s="92"/>
      <c r="AQ28" s="215"/>
      <c r="AR28" s="92"/>
      <c r="AS28" s="92"/>
      <c r="AT28" s="92"/>
      <c r="AU28" s="92"/>
      <c r="AV28" s="92"/>
    </row>
    <row r="29" spans="1:49" s="82" customFormat="1" ht="16">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
      <c r="E30" s="56"/>
      <c r="F30"/>
      <c r="G30" s="2"/>
      <c r="AJ30" s="92"/>
      <c r="AK30" s="92"/>
      <c r="AL30" s="92"/>
      <c r="AM30" s="92"/>
      <c r="AN30" s="92"/>
      <c r="AO30" s="437"/>
      <c r="AP30" s="92"/>
      <c r="AQ30" s="215"/>
      <c r="AR30" s="92"/>
      <c r="AS30" s="92"/>
      <c r="AT30" s="92"/>
      <c r="AU30" s="92"/>
      <c r="AV30" s="92"/>
    </row>
    <row r="31" spans="1:49" s="82" customFormat="1" ht="16">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
      <c r="E32" s="56"/>
      <c r="G32" s="2"/>
      <c r="AJ32" s="92"/>
      <c r="AK32" s="92"/>
      <c r="AL32" s="92"/>
      <c r="AM32" s="92"/>
      <c r="AN32" s="92"/>
      <c r="AO32" s="437"/>
      <c r="AP32" s="92"/>
      <c r="AQ32" s="215"/>
      <c r="AR32" s="92"/>
      <c r="AS32" s="92"/>
      <c r="AT32" s="92"/>
      <c r="AU32" s="92"/>
      <c r="AV32" s="92"/>
    </row>
    <row r="33" spans="2:52" s="82" customFormat="1" ht="16">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6">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6">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6">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6">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
      <c r="E39" s="56"/>
      <c r="G39" s="2"/>
      <c r="AJ39" s="92"/>
      <c r="AK39" s="92"/>
      <c r="AL39" s="92"/>
      <c r="AM39" s="92"/>
      <c r="AN39" s="92"/>
      <c r="AO39" s="92"/>
      <c r="AP39" s="92"/>
      <c r="AQ39" s="215"/>
      <c r="AR39" s="92"/>
      <c r="AS39" s="92"/>
      <c r="AT39" s="92"/>
      <c r="AU39" s="92"/>
      <c r="AV39" s="92"/>
    </row>
    <row r="40" spans="2:52" s="82" customFormat="1" ht="16">
      <c r="E40" s="56" t="s">
        <v>1163</v>
      </c>
      <c r="G40" s="2" t="s">
        <v>848</v>
      </c>
      <c r="I40" s="82" t="b">
        <f>I27 &gt;= 0</f>
        <v>0</v>
      </c>
      <c r="AJ40" s="92"/>
      <c r="AK40" s="92"/>
      <c r="AL40" s="92"/>
      <c r="AM40" s="92"/>
      <c r="AN40" s="92"/>
      <c r="AO40" s="92"/>
      <c r="AP40" s="92"/>
      <c r="AQ40" s="215"/>
      <c r="AR40" s="92"/>
      <c r="AS40" s="92"/>
      <c r="AT40" s="92"/>
      <c r="AU40" s="92"/>
      <c r="AV40" s="92"/>
    </row>
    <row r="41" spans="2:52" s="82" customFormat="1" ht="16">
      <c r="E41" s="56"/>
      <c r="G41" s="2"/>
      <c r="AJ41" s="92"/>
      <c r="AK41" s="92"/>
      <c r="AL41" s="92"/>
      <c r="AM41" s="92"/>
      <c r="AN41" s="92"/>
      <c r="AO41" s="92"/>
      <c r="AP41" s="92"/>
      <c r="AQ41" s="215"/>
      <c r="AR41" s="92"/>
      <c r="AS41" s="92"/>
      <c r="AT41" s="92"/>
      <c r="AU41" s="92"/>
      <c r="AV41" s="92"/>
    </row>
    <row r="42" spans="2:52" s="82" customFormat="1" ht="16">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6">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6">
      <c r="E44" s="2"/>
      <c r="G44" s="2"/>
      <c r="AJ44" s="92"/>
      <c r="AK44" s="92"/>
      <c r="AL44" s="92"/>
      <c r="AM44" s="92"/>
      <c r="AN44" s="92"/>
      <c r="AO44" s="92"/>
      <c r="AP44" s="92"/>
      <c r="AQ44" s="215"/>
      <c r="AR44" s="92"/>
      <c r="AS44" s="92"/>
      <c r="AT44" s="92"/>
      <c r="AU44" s="92"/>
      <c r="AV44" s="92"/>
    </row>
    <row r="45" spans="2:52" s="82" customFormat="1" ht="16">
      <c r="E45" s="2" t="s">
        <v>1162</v>
      </c>
      <c r="G45" s="2" t="s">
        <v>101</v>
      </c>
      <c r="I45" s="446">
        <f>I19 * (-I42 -I43)</f>
        <v>0</v>
      </c>
      <c r="AJ45" s="92"/>
      <c r="AK45" s="92"/>
      <c r="AL45" s="92"/>
      <c r="AM45" s="92"/>
      <c r="AN45" s="92"/>
      <c r="AO45" s="92"/>
      <c r="AP45" s="92"/>
      <c r="AQ45" s="215"/>
      <c r="AR45" s="92"/>
      <c r="AS45" s="92"/>
      <c r="AT45" s="92"/>
      <c r="AU45" s="92"/>
      <c r="AV45" s="92"/>
    </row>
    <row r="46" spans="2:52" s="21" customFormat="1" ht="16">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
      <c r="B49" s="34"/>
      <c r="C49" s="34"/>
      <c r="D49" s="34"/>
      <c r="E49" s="35" t="s">
        <v>1167</v>
      </c>
      <c r="F49" s="35"/>
      <c r="G49" s="21" t="s">
        <v>848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0.18321557022272011</v>
      </c>
      <c r="AS62" s="439">
        <f t="shared" ref="AS62:AV62" si="2">AS15/$I$19</f>
        <v>0.18784678011291239</v>
      </c>
      <c r="AT62" s="439">
        <f t="shared" si="2"/>
        <v>0.19710935900564625</v>
      </c>
      <c r="AU62" s="439">
        <f t="shared" si="2"/>
        <v>0.20938167211329653</v>
      </c>
      <c r="AV62" s="439">
        <f t="shared" si="2"/>
        <v>0.22244661854542469</v>
      </c>
      <c r="AW62" s="34"/>
      <c r="AX62"/>
      <c r="AY62"/>
      <c r="AZ62"/>
    </row>
    <row r="63" spans="2:52" s="21" customFormat="1" ht="16">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19.781086149278678</v>
      </c>
      <c r="AS68" s="7">
        <f t="shared" ref="AS68:AV68" si="4">AS25</f>
        <v>3.4182884984258379</v>
      </c>
      <c r="AT68" s="7">
        <f t="shared" si="4"/>
        <v>-13.551587550853675</v>
      </c>
      <c r="AU68" s="7">
        <f t="shared" si="4"/>
        <v>-11.721706231696984</v>
      </c>
      <c r="AV68" s="7">
        <f t="shared" si="4"/>
        <v>0.9627006962340765</v>
      </c>
      <c r="AW68" s="34"/>
      <c r="AX68"/>
      <c r="AY68"/>
      <c r="AZ68"/>
    </row>
    <row r="69" spans="1:52" s="21" customFormat="1" ht="16">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19.781086149278678</v>
      </c>
      <c r="AS70" s="431">
        <f t="shared" ref="AS70:AV70" si="6">SUM(AS68:AS69)</f>
        <v>3.4182884984258379</v>
      </c>
      <c r="AT70" s="431">
        <f t="shared" si="6"/>
        <v>-13.551587550853675</v>
      </c>
      <c r="AU70" s="431">
        <f t="shared" si="6"/>
        <v>-11.721706231696984</v>
      </c>
      <c r="AV70" s="431">
        <f t="shared" si="6"/>
        <v>0.9627006962340765</v>
      </c>
      <c r="AW70" s="34"/>
      <c r="AX70"/>
      <c r="AY70"/>
      <c r="AZ70"/>
    </row>
    <row r="71" spans="1:52" s="21" customFormat="1" ht="16">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
      <c r="B72" s="34"/>
      <c r="C72" s="34"/>
      <c r="D72" s="34"/>
      <c r="E72" s="35" t="s">
        <v>1158</v>
      </c>
      <c r="F72" s="35"/>
      <c r="G72" s="21" t="s">
        <v>1181</v>
      </c>
      <c r="H72" s="35"/>
      <c r="I72" s="450">
        <f>SUM(AR68:AV68) / I19</f>
        <v>-2.6221216395142742E-4</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
      <c r="B74" s="34"/>
      <c r="C74" s="34"/>
      <c r="D74" s="34"/>
      <c r="E74" s="35" t="s">
        <v>1182</v>
      </c>
      <c r="F74" s="35"/>
      <c r="G74" s="21" t="s">
        <v>1181</v>
      </c>
      <c r="H74" s="35"/>
      <c r="I74" s="451">
        <f>SUM(I72:I73)</f>
        <v>-2.6221216395142742E-4</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3.5"/>
    <row r="78" spans="1:52" ht="13.5"/>
  </sheetData>
  <conditionalFormatting sqref="AM2">
    <cfRule type="expression" dxfId="56" priority="1">
      <formula>mac_sensitivity=2</formula>
    </cfRule>
    <cfRule type="expression" dxfId="55" priority="2">
      <formula>mac_sensitivity=1</formula>
    </cfRule>
  </conditionalFormatting>
  <conditionalFormatting sqref="AM3">
    <cfRule type="expression" dxfId="5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72" zoomScale="85" zoomScaleNormal="85" workbookViewId="0">
      <selection activeCell="AW94" sqref="AW94"/>
    </sheetView>
  </sheetViews>
  <sheetFormatPr defaultColWidth="0" defaultRowHeight="12.75" customHeight="1"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9.61328125" customWidth="1" collapsed="1"/>
    <col min="37" max="42" width="9.61328125" customWidth="1"/>
    <col min="43" max="43" width="9.61328125" style="220" customWidth="1"/>
    <col min="44" max="48" width="9.61328125" customWidth="1"/>
    <col min="49" max="49" width="3" customWidth="1"/>
    <col min="50" max="52" width="9" hidden="1" customWidth="1"/>
    <col min="53" max="16384" width="9" hidden="1"/>
  </cols>
  <sheetData>
    <row r="1" spans="1:102" ht="18.5">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
      <c r="I15" s="182"/>
      <c r="AQ15" s="147"/>
    </row>
    <row r="16" spans="1:102" s="82" customFormat="1" ht="16">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1.321792585589326</v>
      </c>
      <c r="AT16" s="92">
        <f>InputSummary!AT$194</f>
        <v>1.3743827621199309</v>
      </c>
      <c r="AU16" s="92">
        <f>InputSummary!AU$194</f>
        <v>1.4066722012363251</v>
      </c>
      <c r="AV16" s="92">
        <f>InputSummary!AV$194</f>
        <v>1.4352422149476913</v>
      </c>
    </row>
    <row r="17" spans="3:48" s="82" customFormat="1" ht="16">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388.82731892752673</v>
      </c>
      <c r="AT17" s="8">
        <f>'Annual Inflation'!AT29</f>
        <v>404.29759585694637</v>
      </c>
      <c r="AU17" s="8">
        <f>'Annual Inflation'!AU29</f>
        <v>413.79607253035232</v>
      </c>
      <c r="AV17" s="8">
        <f>'Annual Inflation'!AV29</f>
        <v>422.20041823044591</v>
      </c>
    </row>
    <row r="18" spans="3:48" s="82" customFormat="1" ht="16">
      <c r="E18" s="2"/>
      <c r="G18" s="2"/>
      <c r="AJ18" s="92"/>
      <c r="AK18" s="92"/>
      <c r="AL18" s="92"/>
      <c r="AM18" s="92"/>
      <c r="AN18" s="92"/>
      <c r="AO18" s="92"/>
      <c r="AP18" s="92"/>
      <c r="AQ18" s="215"/>
      <c r="AR18" s="92"/>
      <c r="AS18" s="92"/>
      <c r="AT18" s="92"/>
      <c r="AU18" s="92"/>
      <c r="AV18" s="92"/>
    </row>
    <row r="19" spans="3:48" s="82" customFormat="1" ht="16">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
      <c r="E20" s="2"/>
      <c r="G20" s="2"/>
      <c r="AJ20" s="92"/>
      <c r="AK20" s="92"/>
      <c r="AL20" s="92"/>
      <c r="AM20" s="92"/>
      <c r="AN20" s="92"/>
      <c r="AO20" s="92"/>
      <c r="AP20" s="92"/>
      <c r="AQ20" s="215"/>
      <c r="AR20" s="92"/>
      <c r="AS20" s="92"/>
      <c r="AT20" s="92"/>
      <c r="AU20" s="92"/>
      <c r="AV20" s="92"/>
    </row>
    <row r="21" spans="3:48" s="82" customFormat="1" ht="16">
      <c r="E21" s="259" t="s">
        <v>392</v>
      </c>
      <c r="AJ21" s="92"/>
      <c r="AK21" s="92"/>
      <c r="AL21" s="92"/>
      <c r="AM21" s="92"/>
      <c r="AN21" s="92"/>
      <c r="AO21" s="92"/>
      <c r="AP21" s="92"/>
      <c r="AQ21" s="215"/>
      <c r="AR21" s="92"/>
      <c r="AS21" s="92"/>
      <c r="AT21" s="92"/>
      <c r="AU21" s="92"/>
      <c r="AV21" s="92"/>
    </row>
    <row r="22" spans="3:48" s="82" customFormat="1" ht="16">
      <c r="E22" s="346" t="s">
        <v>770</v>
      </c>
      <c r="G22" s="2" t="s">
        <v>298</v>
      </c>
      <c r="H22" s="82" t="s">
        <v>771</v>
      </c>
      <c r="AJ22" s="92"/>
      <c r="AK22" s="92"/>
      <c r="AL22" s="92"/>
      <c r="AM22" s="92"/>
      <c r="AN22" s="92"/>
      <c r="AO22" s="92"/>
      <c r="AP22" s="92"/>
      <c r="AQ22" s="215"/>
      <c r="AR22" s="8">
        <f>Legacy!AR26</f>
        <v>0.82031517545482557</v>
      </c>
      <c r="AS22" s="8">
        <f>Legacy!AS26</f>
        <v>0.88032886286543721</v>
      </c>
      <c r="AT22" s="8">
        <f>Legacy!AT26</f>
        <v>0.9532229013469099</v>
      </c>
      <c r="AU22" s="8">
        <f>Legacy!AU26</f>
        <v>1.0155498927605671</v>
      </c>
      <c r="AV22" s="8">
        <f>Legacy!AV26</f>
        <v>1.0795595404165736</v>
      </c>
    </row>
    <row r="23" spans="3:48" s="82" customFormat="1" ht="16">
      <c r="E23" s="346" t="s">
        <v>772</v>
      </c>
      <c r="G23" s="2" t="s">
        <v>298</v>
      </c>
      <c r="H23" s="82" t="s">
        <v>690</v>
      </c>
      <c r="AJ23" s="92"/>
      <c r="AK23" s="92"/>
      <c r="AL23" s="92"/>
      <c r="AM23" s="92"/>
      <c r="AN23" s="92"/>
      <c r="AO23" s="92"/>
      <c r="AP23" s="92"/>
      <c r="AQ23" s="215"/>
      <c r="AR23" s="8">
        <f>Legacy!AR33</f>
        <v>14.878352597006858</v>
      </c>
      <c r="AS23" s="8">
        <f>Legacy!AS33</f>
        <v>44.210482809454653</v>
      </c>
      <c r="AT23" s="8">
        <f>Legacy!AT33</f>
        <v>0</v>
      </c>
      <c r="AU23" s="8">
        <f>Legacy!AU33</f>
        <v>0</v>
      </c>
      <c r="AV23" s="8">
        <f>Legacy!AV33</f>
        <v>0</v>
      </c>
    </row>
    <row r="24" spans="3:48" s="82" customFormat="1" ht="16">
      <c r="E24" s="346" t="s">
        <v>695</v>
      </c>
      <c r="G24" s="2" t="s">
        <v>298</v>
      </c>
      <c r="H24" s="82" t="s">
        <v>698</v>
      </c>
      <c r="AJ24" s="92"/>
      <c r="AK24" s="92"/>
      <c r="AL24" s="92"/>
      <c r="AM24" s="92"/>
      <c r="AN24" s="92"/>
      <c r="AO24" s="92"/>
      <c r="AP24" s="92"/>
      <c r="AQ24" s="475"/>
      <c r="AR24" s="8">
        <f>Legacy!AR43</f>
        <v>0.69834635304675463</v>
      </c>
      <c r="AS24" s="8">
        <f>Legacy!AS43</f>
        <v>0</v>
      </c>
      <c r="AT24" s="8">
        <f>Legacy!AT43</f>
        <v>0</v>
      </c>
      <c r="AU24" s="8">
        <f>Legacy!AU43</f>
        <v>0</v>
      </c>
      <c r="AV24" s="8">
        <f>Legacy!AV43</f>
        <v>0</v>
      </c>
    </row>
    <row r="25" spans="3:48" s="82" customFormat="1" ht="16">
      <c r="E25" s="346" t="s">
        <v>425</v>
      </c>
      <c r="G25" s="2" t="s">
        <v>298</v>
      </c>
      <c r="H25" s="82" t="s">
        <v>699</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6">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
      <c r="E27" s="259" t="s">
        <v>435</v>
      </c>
      <c r="AJ27" s="92"/>
      <c r="AK27" s="92"/>
      <c r="AL27" s="92"/>
      <c r="AM27" s="92"/>
      <c r="AN27" s="92"/>
      <c r="AO27" s="92"/>
      <c r="AP27" s="92"/>
      <c r="AQ27" s="215"/>
      <c r="AR27" s="8"/>
      <c r="AS27" s="8"/>
      <c r="AT27" s="8"/>
      <c r="AU27" s="8"/>
      <c r="AV27" s="8"/>
    </row>
    <row r="28" spans="3:48" s="82" customFormat="1" ht="16">
      <c r="E28" s="346" t="s">
        <v>774</v>
      </c>
      <c r="F28"/>
      <c r="G28" s="2" t="s">
        <v>298</v>
      </c>
      <c r="H28" s="82" t="s">
        <v>775</v>
      </c>
      <c r="AJ28" s="92"/>
      <c r="AK28" s="92"/>
      <c r="AL28" s="92"/>
      <c r="AM28" s="92"/>
      <c r="AN28" s="92"/>
      <c r="AO28" s="92"/>
      <c r="AP28" s="92"/>
      <c r="AQ28" s="215"/>
      <c r="AR28" s="8">
        <f>Legacy!AR62</f>
        <v>4.3108881513703539</v>
      </c>
      <c r="AS28" s="8">
        <f>Legacy!AS62</f>
        <v>4.4498688736759657</v>
      </c>
      <c r="AT28" s="8">
        <f>Legacy!AT62</f>
        <v>0</v>
      </c>
      <c r="AU28" s="8">
        <f>Legacy!AU62</f>
        <v>0</v>
      </c>
      <c r="AV28" s="8">
        <f>Legacy!AV62</f>
        <v>0</v>
      </c>
    </row>
    <row r="29" spans="3:48" s="82" customFormat="1" ht="16">
      <c r="E29" s="346" t="s">
        <v>776</v>
      </c>
      <c r="F29"/>
      <c r="G29" s="2" t="s">
        <v>298</v>
      </c>
      <c r="H29" s="82" t="s">
        <v>777</v>
      </c>
      <c r="AJ29" s="92"/>
      <c r="AK29" s="92"/>
      <c r="AL29" s="92"/>
      <c r="AM29" s="92"/>
      <c r="AN29" s="92"/>
      <c r="AO29" s="92"/>
      <c r="AP29" s="92"/>
      <c r="AQ29" s="215"/>
      <c r="AR29" s="8">
        <f>Legacy!AR68</f>
        <v>15.180155298301134</v>
      </c>
      <c r="AS29" s="8">
        <f>Legacy!AS68</f>
        <v>16.867431701828259</v>
      </c>
      <c r="AT29" s="8">
        <f>Legacy!AT68</f>
        <v>0</v>
      </c>
      <c r="AU29" s="8">
        <f>Legacy!AU68</f>
        <v>0</v>
      </c>
      <c r="AV29" s="8">
        <f>Legacy!AV68</f>
        <v>0</v>
      </c>
    </row>
    <row r="30" spans="3:48" s="82" customFormat="1" ht="16">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
      <c r="E31" s="346" t="s">
        <v>727</v>
      </c>
      <c r="F31"/>
      <c r="G31" s="2" t="s">
        <v>298</v>
      </c>
      <c r="H31" s="82" t="s">
        <v>780</v>
      </c>
      <c r="AJ31" s="92"/>
      <c r="AK31" s="92"/>
      <c r="AL31" s="92"/>
      <c r="AM31" s="92"/>
      <c r="AN31" s="92"/>
      <c r="AO31" s="92"/>
      <c r="AP31" s="92"/>
      <c r="AQ31" s="215"/>
      <c r="AR31" s="8">
        <f>Legacy!AR79</f>
        <v>0.69928633088939507</v>
      </c>
      <c r="AS31" s="8">
        <f>Legacy!AS79</f>
        <v>0.67872783521420987</v>
      </c>
      <c r="AT31" s="8">
        <f>Legacy!AT79</f>
        <v>0</v>
      </c>
      <c r="AU31" s="8">
        <f>Legacy!AU79</f>
        <v>0</v>
      </c>
      <c r="AV31" s="8">
        <f>Legacy!AV79</f>
        <v>0</v>
      </c>
    </row>
    <row r="32" spans="3:48" s="82" customFormat="1" ht="16">
      <c r="E32" s="259" t="s">
        <v>462</v>
      </c>
      <c r="H32" s="182"/>
      <c r="AJ32" s="92"/>
      <c r="AK32" s="92"/>
      <c r="AL32" s="92"/>
      <c r="AM32" s="92"/>
      <c r="AN32" s="92"/>
      <c r="AO32" s="92"/>
      <c r="AP32" s="92"/>
      <c r="AQ32" s="215"/>
      <c r="AR32" s="8"/>
      <c r="AS32" s="8"/>
      <c r="AT32" s="8"/>
      <c r="AU32" s="8"/>
      <c r="AV32" s="8"/>
    </row>
    <row r="33" spans="2:52" s="82" customFormat="1" ht="16">
      <c r="E33" s="346" t="s">
        <v>463</v>
      </c>
      <c r="G33" s="2" t="s">
        <v>298</v>
      </c>
      <c r="H33" s="82" t="s">
        <v>734</v>
      </c>
      <c r="AJ33" s="92"/>
      <c r="AK33" s="92"/>
      <c r="AL33" s="92"/>
      <c r="AM33" s="92"/>
      <c r="AN33" s="92"/>
      <c r="AO33" s="92"/>
      <c r="AP33" s="92"/>
      <c r="AQ33" s="215"/>
      <c r="AR33" s="8">
        <f>Legacy!AR85</f>
        <v>0.90801324353969237</v>
      </c>
      <c r="AS33" s="8">
        <f>Legacy!AS85</f>
        <v>0.7620883771551521</v>
      </c>
      <c r="AT33" s="8">
        <f>Legacy!AT85</f>
        <v>0</v>
      </c>
      <c r="AU33" s="8">
        <f>Legacy!AU85</f>
        <v>0</v>
      </c>
      <c r="AV33" s="8">
        <f>Legacy!AV85</f>
        <v>0</v>
      </c>
    </row>
    <row r="34" spans="2:52" s="82" customFormat="1" ht="16">
      <c r="E34" s="346" t="s">
        <v>468</v>
      </c>
      <c r="G34" s="2" t="s">
        <v>298</v>
      </c>
      <c r="H34" s="82" t="s">
        <v>737</v>
      </c>
      <c r="AJ34" s="92"/>
      <c r="AK34" s="92"/>
      <c r="AL34" s="92"/>
      <c r="AM34" s="92"/>
      <c r="AN34" s="92"/>
      <c r="AO34" s="92"/>
      <c r="AP34" s="92"/>
      <c r="AQ34" s="215"/>
      <c r="AR34" s="8">
        <f>Legacy!AR90</f>
        <v>-17.242683898289602</v>
      </c>
      <c r="AS34" s="8">
        <f>Legacy!AS90</f>
        <v>-22.877881911867537</v>
      </c>
      <c r="AT34" s="8">
        <f>Legacy!AT90</f>
        <v>0</v>
      </c>
      <c r="AU34" s="8">
        <f>Legacy!AU90</f>
        <v>0</v>
      </c>
      <c r="AV34" s="8">
        <f>Legacy!AV90</f>
        <v>0</v>
      </c>
    </row>
    <row r="35" spans="2:52" s="82" customFormat="1" ht="16">
      <c r="E35" s="346" t="s">
        <v>473</v>
      </c>
      <c r="G35" s="2" t="s">
        <v>298</v>
      </c>
      <c r="H35" s="82" t="s">
        <v>740</v>
      </c>
      <c r="AJ35" s="92"/>
      <c r="AK35" s="92"/>
      <c r="AL35" s="92"/>
      <c r="AM35" s="92"/>
      <c r="AN35" s="92"/>
      <c r="AO35" s="92"/>
      <c r="AP35" s="92"/>
      <c r="AQ35" s="215"/>
      <c r="AR35" s="8">
        <f>Legacy!AR95</f>
        <v>-8.0765391632191506</v>
      </c>
      <c r="AS35" s="8">
        <f>Legacy!AS95</f>
        <v>-9.8399920246057793</v>
      </c>
      <c r="AT35" s="8">
        <f>Legacy!AT95</f>
        <v>0</v>
      </c>
      <c r="AU35" s="8">
        <f>Legacy!AU95</f>
        <v>0</v>
      </c>
      <c r="AV35" s="8">
        <f>Legacy!AV95</f>
        <v>0</v>
      </c>
    </row>
    <row r="36" spans="2:52" s="82" customFormat="1" ht="16">
      <c r="E36" s="346" t="s">
        <v>478</v>
      </c>
      <c r="G36" s="2" t="s">
        <v>298</v>
      </c>
      <c r="H36" s="82" t="s">
        <v>743</v>
      </c>
      <c r="AJ36" s="92"/>
      <c r="AK36" s="92"/>
      <c r="AL36" s="92"/>
      <c r="AM36" s="92"/>
      <c r="AN36" s="92"/>
      <c r="AO36" s="92"/>
      <c r="AP36" s="92"/>
      <c r="AQ36" s="215"/>
      <c r="AR36" s="8">
        <f>Legacy!AR100</f>
        <v>2.870816469151884</v>
      </c>
      <c r="AS36" s="8">
        <f>Legacy!AS100</f>
        <v>2.9240659835491103</v>
      </c>
      <c r="AT36" s="8">
        <f>Legacy!AT100</f>
        <v>0</v>
      </c>
      <c r="AU36" s="8">
        <f>Legacy!AU100</f>
        <v>0</v>
      </c>
      <c r="AV36" s="8">
        <f>Legacy!AV100</f>
        <v>0</v>
      </c>
    </row>
    <row r="37" spans="2:52" s="82" customFormat="1" ht="16">
      <c r="E37" s="346" t="s">
        <v>483</v>
      </c>
      <c r="G37" s="2" t="s">
        <v>298</v>
      </c>
      <c r="H37" s="82" t="s">
        <v>746</v>
      </c>
      <c r="AJ37" s="92"/>
      <c r="AK37" s="92"/>
      <c r="AL37" s="92"/>
      <c r="AM37" s="92"/>
      <c r="AN37" s="92"/>
      <c r="AO37" s="92"/>
      <c r="AP37" s="92"/>
      <c r="AQ37" s="215"/>
      <c r="AR37" s="8">
        <f>Legacy!AR105</f>
        <v>1.7447912875303464</v>
      </c>
      <c r="AS37" s="8">
        <f>Legacy!AS105</f>
        <v>1.6212680856910511</v>
      </c>
      <c r="AT37" s="8">
        <f>Legacy!AT105</f>
        <v>0</v>
      </c>
      <c r="AU37" s="8">
        <f>Legacy!AU105</f>
        <v>0</v>
      </c>
      <c r="AV37" s="8">
        <f>Legacy!AV105</f>
        <v>0</v>
      </c>
    </row>
    <row r="38" spans="2:52" s="82" customFormat="1" ht="16">
      <c r="E38" s="346" t="s">
        <v>782</v>
      </c>
      <c r="G38" s="2" t="s">
        <v>298</v>
      </c>
      <c r="H38" s="82" t="s">
        <v>749</v>
      </c>
      <c r="AJ38" s="92"/>
      <c r="AK38" s="92"/>
      <c r="AL38" s="92"/>
      <c r="AM38" s="92"/>
      <c r="AN38" s="92"/>
      <c r="AO38" s="92"/>
      <c r="AP38" s="92"/>
      <c r="AQ38" s="215"/>
      <c r="AR38" s="8">
        <f>Legacy!AR110</f>
        <v>0</v>
      </c>
      <c r="AS38" s="8">
        <f>Legacy!AS110</f>
        <v>0</v>
      </c>
      <c r="AT38" s="8">
        <f>Legacy!AT110</f>
        <v>0</v>
      </c>
      <c r="AU38" s="8">
        <f>Legacy!AU110</f>
        <v>0</v>
      </c>
      <c r="AV38" s="8">
        <f>Legacy!AV110</f>
        <v>0</v>
      </c>
    </row>
    <row r="39" spans="2:52" s="82" customFormat="1" ht="16">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
      <c r="E42" s="346" t="s">
        <v>784</v>
      </c>
      <c r="G42" s="2" t="s">
        <v>298</v>
      </c>
      <c r="H42" s="82" t="s">
        <v>1209</v>
      </c>
      <c r="AJ42" s="92"/>
      <c r="AK42" s="92"/>
      <c r="AL42" s="92"/>
      <c r="AM42" s="92"/>
      <c r="AN42" s="92"/>
      <c r="AO42" s="92"/>
      <c r="AP42" s="92"/>
      <c r="AQ42" s="215"/>
      <c r="AR42" s="8">
        <f>Legacy!AR130</f>
        <v>1.1173012040807055</v>
      </c>
      <c r="AS42" s="8">
        <f>Legacy!AS130</f>
        <v>1.5515179921648616</v>
      </c>
      <c r="AT42" s="8">
        <f>Legacy!AT130</f>
        <v>0</v>
      </c>
      <c r="AU42" s="8">
        <f>Legacy!AU130</f>
        <v>0</v>
      </c>
      <c r="AV42" s="8">
        <f>Legacy!AV130</f>
        <v>0</v>
      </c>
    </row>
    <row r="43" spans="2:52" s="82" customFormat="1" ht="16">
      <c r="E43" s="346" t="s">
        <v>785</v>
      </c>
      <c r="G43" s="2" t="s">
        <v>298</v>
      </c>
      <c r="H43" s="82" t="s">
        <v>766</v>
      </c>
      <c r="AJ43" s="92"/>
      <c r="AK43" s="92"/>
      <c r="AL43" s="92"/>
      <c r="AM43" s="92"/>
      <c r="AN43" s="92"/>
      <c r="AO43" s="92"/>
      <c r="AP43" s="92"/>
      <c r="AQ43" s="215"/>
      <c r="AR43" s="8">
        <f>Legacy!AR135</f>
        <v>1.2967799210877913</v>
      </c>
      <c r="AS43" s="8">
        <f>Legacy!AS135</f>
        <v>2.5419571271678927</v>
      </c>
      <c r="AT43" s="8">
        <f>Legacy!AT135</f>
        <v>0.14815499939809329</v>
      </c>
      <c r="AU43" s="8">
        <f>Legacy!AU135</f>
        <v>0</v>
      </c>
      <c r="AV43" s="8">
        <f>Legacy!AV135</f>
        <v>0</v>
      </c>
    </row>
    <row r="44" spans="2:52" s="82" customFormat="1" ht="16">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
      <c r="E45" s="2" t="s">
        <v>1210</v>
      </c>
      <c r="G45" s="2" t="s">
        <v>298</v>
      </c>
      <c r="H45" s="82" t="s">
        <v>1211</v>
      </c>
      <c r="AJ45" s="92"/>
      <c r="AK45" s="92"/>
      <c r="AL45" s="92"/>
      <c r="AM45" s="92"/>
      <c r="AN45" s="92"/>
      <c r="AO45" s="92"/>
      <c r="AP45" s="92"/>
      <c r="AQ45" s="215"/>
      <c r="AR45" s="542">
        <f>SUM(AR22:AR44)</f>
        <v>19.205822969950987</v>
      </c>
      <c r="AS45" s="543">
        <f t="shared" ref="AS45:AV45" si="1">SUM(AS22:AS44)</f>
        <v>43.769863712293279</v>
      </c>
      <c r="AT45" s="543">
        <f t="shared" si="1"/>
        <v>1.1013779007450033</v>
      </c>
      <c r="AU45" s="543">
        <f t="shared" si="1"/>
        <v>1.0155498927605671</v>
      </c>
      <c r="AV45" s="543">
        <f t="shared" si="1"/>
        <v>1.0795595404165736</v>
      </c>
    </row>
    <row r="46" spans="2:52" s="82" customFormat="1" ht="16">
      <c r="E46" s="2"/>
      <c r="G46" s="2"/>
      <c r="AJ46" s="92"/>
      <c r="AK46" s="92"/>
      <c r="AL46" s="92"/>
      <c r="AM46" s="92"/>
      <c r="AN46" s="92"/>
      <c r="AO46" s="92"/>
      <c r="AP46" s="92"/>
      <c r="AQ46" s="215"/>
      <c r="AR46" s="92"/>
      <c r="AS46" s="92"/>
      <c r="AT46" s="92"/>
      <c r="AU46" s="92"/>
      <c r="AV46" s="92"/>
    </row>
    <row r="47" spans="2:52" s="2" customFormat="1" ht="16">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560.13462922309157</v>
      </c>
      <c r="AS49" s="35">
        <f>Revenue!AS22 * (AS17/$AO$17)</f>
        <v>529.49956227803784</v>
      </c>
      <c r="AT49" s="35">
        <f>Revenue!AT22 * (AT17/$AO$17)</f>
        <v>513.77807572641916</v>
      </c>
      <c r="AU49" s="35">
        <f>Revenue!AU22 * (AU17/$AO$17)</f>
        <v>528.13052400726963</v>
      </c>
      <c r="AV49" s="35">
        <f>Revenue!AV22 * (AV17/$AO$17)</f>
        <v>572.96344145125659</v>
      </c>
      <c r="AW49" s="34"/>
      <c r="AX49"/>
      <c r="AY49"/>
      <c r="AZ49"/>
    </row>
    <row r="50" spans="2:52" s="21" customFormat="1" ht="16">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8.9864178892603785</v>
      </c>
      <c r="AS50" s="35">
        <f>AS69</f>
        <v>48.701219026143356</v>
      </c>
      <c r="AT50" s="35">
        <f>AT69</f>
        <v>24.458681472855694</v>
      </c>
      <c r="AU50" s="35">
        <f>AU69</f>
        <v>52.21689838654126</v>
      </c>
      <c r="AV50" s="35">
        <f>AV69</f>
        <v>32.667119240252319</v>
      </c>
      <c r="AW50" s="34"/>
      <c r="AX50"/>
      <c r="AY50"/>
      <c r="AZ50"/>
    </row>
    <row r="51" spans="2:52" s="21" customFormat="1" ht="16">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19.205822969950987</v>
      </c>
      <c r="AS52" s="35">
        <f t="shared" ref="AS52:AV52" si="3">AS45</f>
        <v>43.769863712293279</v>
      </c>
      <c r="AT52" s="35">
        <f t="shared" si="3"/>
        <v>1.1013779007450033</v>
      </c>
      <c r="AU52" s="35">
        <f t="shared" si="3"/>
        <v>1.0155498927605671</v>
      </c>
      <c r="AV52" s="35">
        <f t="shared" si="3"/>
        <v>1.0795595404165736</v>
      </c>
      <c r="AW52" s="34"/>
      <c r="AX52"/>
      <c r="AY52"/>
      <c r="AZ52"/>
    </row>
    <row r="53" spans="2:52" s="21" customFormat="1" ht="16">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4">
        <f>SUM(AR49:AR52)</f>
        <v>588.32687008230289</v>
      </c>
      <c r="AS53" s="545">
        <f t="shared" ref="AS53:AV53" si="4">SUM(AS49:AS52)</f>
        <v>621.97064501647446</v>
      </c>
      <c r="AT53" s="545">
        <f t="shared" si="4"/>
        <v>539.33813510001983</v>
      </c>
      <c r="AU53" s="545">
        <f t="shared" si="4"/>
        <v>581.36297228657145</v>
      </c>
      <c r="AV53" s="545">
        <f t="shared" si="4"/>
        <v>606.71012023192543</v>
      </c>
      <c r="AW53" s="34"/>
      <c r="AX53"/>
      <c r="AY53"/>
      <c r="AZ53"/>
    </row>
    <row r="54" spans="2:52" s="21" customFormat="1" ht="16">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526.5732407258464</v>
      </c>
      <c r="AR57" s="35"/>
      <c r="AS57" s="34"/>
      <c r="AT57" s="34"/>
      <c r="AU57" s="34"/>
      <c r="AV57" s="34"/>
      <c r="AW57" s="34"/>
      <c r="AX57"/>
      <c r="AY57"/>
      <c r="AZ57"/>
    </row>
    <row r="58" spans="2:52" s="21" customFormat="1" ht="16">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526.5732407258464</v>
      </c>
      <c r="AR58" s="35">
        <f>AR57 + AR53</f>
        <v>588.32687008230289</v>
      </c>
      <c r="AS58" s="34">
        <f t="shared" ref="AS58:AV58" si="6">AS57 + AS53</f>
        <v>621.97064501647446</v>
      </c>
      <c r="AT58" s="34">
        <f t="shared" si="6"/>
        <v>539.33813510001983</v>
      </c>
      <c r="AU58" s="34">
        <f t="shared" si="6"/>
        <v>581.36297228657145</v>
      </c>
      <c r="AV58" s="34">
        <f t="shared" si="6"/>
        <v>606.71012023192543</v>
      </c>
      <c r="AW58" s="34"/>
      <c r="AX58"/>
      <c r="AY58"/>
      <c r="AZ58"/>
    </row>
    <row r="59" spans="2:52" s="21" customFormat="1" ht="1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518.44197616319991</v>
      </c>
      <c r="AR60" s="330">
        <f>InputSummary!AR248</f>
        <v>542.94570547950002</v>
      </c>
      <c r="AS60" s="81">
        <f>InputSummary!AS248</f>
        <v>599.38234671000009</v>
      </c>
      <c r="AT60" s="81">
        <f>InputSummary!AT248</f>
        <v>490.3259263112875</v>
      </c>
      <c r="AU60" s="81">
        <f>InputSummary!AU248</f>
        <v>550.63276408662955</v>
      </c>
      <c r="AV60" s="81">
        <f>InputSummary!AV248</f>
        <v>0</v>
      </c>
      <c r="AW60" s="34"/>
      <c r="AX60"/>
      <c r="AY60"/>
      <c r="AZ60"/>
    </row>
    <row r="61" spans="2:52" s="21" customFormat="1" ht="16">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0</v>
      </c>
      <c r="AV61" s="34">
        <f t="shared" si="7"/>
        <v>606.71012023192543</v>
      </c>
      <c r="AW61" s="34"/>
      <c r="AX61"/>
      <c r="AY61"/>
      <c r="AZ61"/>
    </row>
    <row r="62" spans="2:52" s="21" customFormat="1" ht="16">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518.44197616319991</v>
      </c>
      <c r="AR62" s="35">
        <f t="shared" ref="AR62:AV62" si="8">AR60+AR61</f>
        <v>542.94570547950002</v>
      </c>
      <c r="AS62" s="35">
        <f t="shared" si="8"/>
        <v>599.38234671000009</v>
      </c>
      <c r="AT62" s="35">
        <f t="shared" si="8"/>
        <v>490.3259263112875</v>
      </c>
      <c r="AU62" s="35">
        <f t="shared" si="8"/>
        <v>550.63276408662955</v>
      </c>
      <c r="AV62" s="35">
        <f t="shared" si="8"/>
        <v>606.71012023192543</v>
      </c>
      <c r="AW62" s="34"/>
      <c r="AX62"/>
      <c r="AY62"/>
      <c r="AZ62"/>
    </row>
    <row r="63" spans="2:52" s="134" customFormat="1" ht="16">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8.1312645626464928</v>
      </c>
      <c r="AR63" s="365">
        <f t="shared" si="9"/>
        <v>45.381164602802869</v>
      </c>
      <c r="AS63" s="365">
        <f t="shared" si="9"/>
        <v>22.588298306474371</v>
      </c>
      <c r="AT63" s="365">
        <f t="shared" si="9"/>
        <v>49.012208788732323</v>
      </c>
      <c r="AU63" s="365">
        <f t="shared" si="9"/>
        <v>30.730208199941899</v>
      </c>
      <c r="AV63" s="365">
        <f t="shared" si="9"/>
        <v>0</v>
      </c>
      <c r="AW63" s="77"/>
      <c r="AX63" s="78"/>
      <c r="AY63" s="78"/>
      <c r="AZ63" s="78"/>
    </row>
    <row r="64" spans="2:52" s="21" customFormat="1" ht="1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
      <c r="E65" s="7" t="s">
        <v>1225</v>
      </c>
      <c r="F65" s="7"/>
      <c r="G65" s="7" t="s">
        <v>246</v>
      </c>
      <c r="H65" s="141" t="s">
        <v>582</v>
      </c>
      <c r="AJ65" s="8"/>
      <c r="AK65" s="8"/>
      <c r="AL65" s="8"/>
      <c r="AM65" s="8"/>
      <c r="AN65" s="8"/>
      <c r="AO65" s="8"/>
      <c r="AP65" s="8"/>
      <c r="AQ65" s="216">
        <f>InputSummary!AQ182</f>
        <v>3.0359999999999998E-2</v>
      </c>
      <c r="AR65" s="211">
        <f>InputSummary!AR182</f>
        <v>3.97335776E-2</v>
      </c>
      <c r="AS65" s="211">
        <f>InputSummary!AS182</f>
        <v>4.1370183200000001E-2</v>
      </c>
      <c r="AT65" s="211">
        <f>InputSummary!AT182</f>
        <v>4.09301584E-2</v>
      </c>
      <c r="AU65" s="211">
        <f>InputSummary!AU182</f>
        <v>4.1868818000000002E-2</v>
      </c>
      <c r="AV65" s="211">
        <f>InputSummary!AV182</f>
        <v>4.1308793199999999E-2</v>
      </c>
      <c r="AW65" s="8"/>
    </row>
    <row r="66" spans="1:52" ht="16">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3.2148357289527585E-2</v>
      </c>
      <c r="AS66" s="212">
        <f t="shared" si="10"/>
        <v>3.9787011293574093E-2</v>
      </c>
      <c r="AT66" s="212">
        <f t="shared" si="10"/>
        <v>2.3493774810293022E-2</v>
      </c>
      <c r="AU66" s="212">
        <f t="shared" si="10"/>
        <v>2.0310356376031402E-2</v>
      </c>
      <c r="AV66" s="212" t="str">
        <f t="shared" si="10"/>
        <v/>
      </c>
      <c r="AW66" s="8"/>
    </row>
    <row r="67" spans="1:52" ht="16">
      <c r="A67" s="21"/>
      <c r="E67" s="21" t="s">
        <v>1228</v>
      </c>
      <c r="F67" s="21"/>
      <c r="G67" s="21" t="s">
        <v>1229</v>
      </c>
      <c r="H67" s="21" t="s">
        <v>1230</v>
      </c>
      <c r="AJ67" s="8"/>
      <c r="AK67" s="8"/>
      <c r="AL67" s="8"/>
      <c r="AM67" s="8"/>
      <c r="AN67" s="8"/>
      <c r="AO67" s="8"/>
      <c r="AP67" s="8"/>
      <c r="AQ67" s="546">
        <f t="shared" ref="AQ67:AV67" si="11">IF(AQ12=1,(1 + AQ65) * (1 + AQ66) - 1,"")</f>
        <v>0.1051685528155486</v>
      </c>
      <c r="AR67" s="547">
        <f t="shared" si="11"/>
        <v>7.3159304138603609E-2</v>
      </c>
      <c r="AS67" s="547">
        <f t="shared" si="11"/>
        <v>8.2803190439769692E-2</v>
      </c>
      <c r="AT67" s="547">
        <f t="shared" si="11"/>
        <v>6.5385537134692084E-2</v>
      </c>
      <c r="AU67" s="547">
        <f t="shared" si="11"/>
        <v>6.3029544990654607E-2</v>
      </c>
      <c r="AV67" s="547" t="str">
        <f t="shared" si="11"/>
        <v/>
      </c>
      <c r="AW67" s="8"/>
    </row>
    <row r="68" spans="1:52" s="21" customFormat="1" ht="16">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8.9864178892603785</v>
      </c>
      <c r="AS69" s="34">
        <f>(AR58 - AR62) * (1 + AR67)</f>
        <v>48.701219026143356</v>
      </c>
      <c r="AT69" s="34">
        <f>(AS58 - AS62) * (1 + AS67)</f>
        <v>24.458681472855694</v>
      </c>
      <c r="AU69" s="34">
        <f>(AT58 - AT62) * (1 + AT67)</f>
        <v>52.21689838654126</v>
      </c>
      <c r="AV69" s="34">
        <f>(AU58 - AU62) * (1 + AU67)</f>
        <v>32.667119240252319</v>
      </c>
      <c r="AW69" s="34"/>
      <c r="AX69"/>
      <c r="AY69"/>
      <c r="AZ69"/>
    </row>
    <row r="70" spans="1:52" s="21" customFormat="1" ht="16">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424.03455963996333</v>
      </c>
      <c r="AS75" s="34">
        <f>Revenue!AS12</f>
        <v>390.98120696550728</v>
      </c>
      <c r="AT75" s="34">
        <f>Revenue!AT12</f>
        <v>362.53157389826566</v>
      </c>
      <c r="AU75" s="34">
        <f>Revenue!AU12</f>
        <v>369.72580966382691</v>
      </c>
      <c r="AV75" s="34">
        <f>Revenue!AV12</f>
        <v>388.03379879203561</v>
      </c>
      <c r="AW75" s="34"/>
      <c r="AX75"/>
      <c r="AY75"/>
      <c r="AZ75"/>
    </row>
    <row r="76" spans="1:52" s="21" customFormat="1" ht="16">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424.03455963996333</v>
      </c>
      <c r="AS76" s="34">
        <f t="shared" ref="AS76:AV76" si="13">AS74 + AS75</f>
        <v>390.98120696550728</v>
      </c>
      <c r="AT76" s="34">
        <f t="shared" si="13"/>
        <v>362.53157389826566</v>
      </c>
      <c r="AU76" s="34">
        <f t="shared" si="13"/>
        <v>369.72580966382691</v>
      </c>
      <c r="AV76" s="34">
        <f t="shared" si="13"/>
        <v>388.03379879203561</v>
      </c>
      <c r="AW76" s="34"/>
      <c r="AX76"/>
      <c r="AY76"/>
      <c r="AZ76"/>
    </row>
    <row r="77" spans="1:52" s="21" customFormat="1" ht="16">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358.78946220581747</v>
      </c>
      <c r="AS78" s="81">
        <f>InputSummary!AS250</f>
        <v>358.78946220581747</v>
      </c>
      <c r="AT78" s="81">
        <f>InputSummary!AT250</f>
        <v>347.95778859070782</v>
      </c>
      <c r="AU78" s="81">
        <f>InputSummary!AU250</f>
        <v>357.98596846210404</v>
      </c>
      <c r="AV78" s="81">
        <f>InputSummary!AV250</f>
        <v>0</v>
      </c>
      <c r="AW78" s="34"/>
      <c r="AX78"/>
      <c r="AY78"/>
      <c r="AZ78"/>
    </row>
    <row r="79" spans="1:52" s="21" customFormat="1" ht="16">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0</v>
      </c>
      <c r="AS79" s="35">
        <f t="shared" ref="AS79:AV79" si="16">IF(AS78 = 0, AS76, 0)</f>
        <v>0</v>
      </c>
      <c r="AT79" s="35">
        <f t="shared" si="16"/>
        <v>0</v>
      </c>
      <c r="AU79" s="35">
        <f t="shared" si="16"/>
        <v>0</v>
      </c>
      <c r="AV79" s="35">
        <f t="shared" si="16"/>
        <v>388.03379879203561</v>
      </c>
      <c r="AW79" s="34"/>
      <c r="AX79"/>
      <c r="AY79"/>
      <c r="AZ79"/>
    </row>
    <row r="80" spans="1:52" s="21" customFormat="1" ht="16">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358.78946220581747</v>
      </c>
      <c r="AS80" s="35">
        <f t="shared" ref="AS80:AV80" si="18">AS78+AS79</f>
        <v>358.78946220581747</v>
      </c>
      <c r="AT80" s="35">
        <f t="shared" si="18"/>
        <v>347.95778859070782</v>
      </c>
      <c r="AU80" s="35">
        <f t="shared" si="18"/>
        <v>357.98596846210404</v>
      </c>
      <c r="AV80" s="35">
        <f t="shared" si="18"/>
        <v>388.03379879203561</v>
      </c>
      <c r="AW80" s="34"/>
      <c r="AX80"/>
      <c r="AY80"/>
      <c r="AZ80"/>
    </row>
    <row r="81" spans="2:52" s="134" customFormat="1" ht="16">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65.245097434145862</v>
      </c>
      <c r="AS81" s="365">
        <f t="shared" ref="AS81:AV81" si="21">AS76-AS80</f>
        <v>32.191744759689811</v>
      </c>
      <c r="AT81" s="365">
        <f t="shared" si="21"/>
        <v>14.573785307557841</v>
      </c>
      <c r="AU81" s="365">
        <f t="shared" si="21"/>
        <v>11.739841201722868</v>
      </c>
      <c r="AV81" s="365">
        <f t="shared" si="21"/>
        <v>0</v>
      </c>
      <c r="AW81" s="77"/>
      <c r="AX81" s="78"/>
      <c r="AY81" s="78"/>
      <c r="AZ81" s="78"/>
    </row>
    <row r="82" spans="2:52" s="21" customFormat="1" ht="16">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0</v>
      </c>
      <c r="AS83" s="368">
        <f>InputSummary!AS253</f>
        <v>0</v>
      </c>
      <c r="AT83" s="368">
        <f>InputSummary!AT253</f>
        <v>0</v>
      </c>
      <c r="AU83" s="368">
        <f>InputSummary!AU253</f>
        <v>0</v>
      </c>
      <c r="AV83" s="368">
        <f>InputSummary!AV253</f>
        <v>0</v>
      </c>
      <c r="AW83" s="34"/>
      <c r="AX83"/>
      <c r="AY83"/>
      <c r="AZ83"/>
    </row>
    <row r="84" spans="2:52" s="21" customFormat="1" ht="16">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
      <c r="E85" s="131" t="s">
        <v>314</v>
      </c>
      <c r="F85" s="21"/>
      <c r="G85" s="21" t="s">
        <v>206</v>
      </c>
      <c r="H85" s="21"/>
      <c r="I85" s="370">
        <f>InputSummary!I255</f>
        <v>0.06</v>
      </c>
      <c r="AQ85" s="369"/>
      <c r="AR85" s="143"/>
      <c r="AS85" s="143"/>
      <c r="AT85" s="143"/>
      <c r="AU85" s="143"/>
      <c r="AV85" s="143"/>
    </row>
    <row r="86" spans="2:52" s="21" customFormat="1" ht="16">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0.84613259473580693</v>
      </c>
      <c r="AS86" s="368">
        <f t="shared" si="22"/>
        <v>0.91766421458070291</v>
      </c>
      <c r="AT86" s="368">
        <f t="shared" si="22"/>
        <v>0.95979995576427346</v>
      </c>
      <c r="AU86" s="368">
        <f>IFERROR(AU80/AU76,0)</f>
        <v>0.96824716886171047</v>
      </c>
      <c r="AV86" s="368">
        <f t="shared" si="22"/>
        <v>1</v>
      </c>
      <c r="AW86" s="34"/>
      <c r="AX86"/>
      <c r="AY86"/>
      <c r="AZ86"/>
    </row>
    <row r="87" spans="2:52" s="21" customFormat="1" ht="16">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-1.15E-2</v>
      </c>
      <c r="AS87" s="126">
        <f t="shared" si="23"/>
        <v>-1.15E-2</v>
      </c>
      <c r="AT87" s="126">
        <f t="shared" si="23"/>
        <v>0</v>
      </c>
      <c r="AU87" s="126">
        <f t="shared" si="23"/>
        <v>0</v>
      </c>
      <c r="AV87" s="126">
        <f t="shared" si="23"/>
        <v>0</v>
      </c>
      <c r="AW87" s="34"/>
      <c r="AX87"/>
      <c r="AY87"/>
      <c r="AZ87"/>
    </row>
    <row r="88" spans="2:52" s="21" customFormat="1" ht="16">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531.3259489622983</v>
      </c>
      <c r="AS92" s="330">
        <f>InputSummary!AS249</f>
        <v>660.30339942531361</v>
      </c>
      <c r="AT92" s="330">
        <f>InputSummary!AT249</f>
        <v>490.27779617688293</v>
      </c>
      <c r="AU92" s="330">
        <f>InputSummary!AU249</f>
        <v>550.59634768885724</v>
      </c>
      <c r="AV92" s="330">
        <f>InputSummary!AV249</f>
        <v>0</v>
      </c>
      <c r="AW92" s="34"/>
      <c r="AX92"/>
      <c r="AY92"/>
      <c r="AZ92"/>
    </row>
    <row r="93" spans="2:52" s="21" customFormat="1" ht="16">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526.5732407258464</v>
      </c>
      <c r="AR93" s="35">
        <f t="shared" si="24"/>
        <v>0</v>
      </c>
      <c r="AS93" s="35">
        <f t="shared" si="24"/>
        <v>0</v>
      </c>
      <c r="AT93" s="35">
        <f t="shared" si="24"/>
        <v>0</v>
      </c>
      <c r="AU93" s="35">
        <f t="shared" si="24"/>
        <v>0</v>
      </c>
      <c r="AV93" s="35">
        <f t="shared" si="24"/>
        <v>606.71012023192543</v>
      </c>
      <c r="AW93" s="34"/>
      <c r="AX93"/>
      <c r="AY93"/>
      <c r="AZ93"/>
    </row>
    <row r="94" spans="2:52" s="21" customFormat="1" ht="16">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526.5732407258464</v>
      </c>
      <c r="AR94" s="35">
        <f>AR92+AR93</f>
        <v>531.3259489622983</v>
      </c>
      <c r="AS94" s="35">
        <f t="shared" ref="AS94:AV94" si="25">AS92+AS93</f>
        <v>660.30339942531361</v>
      </c>
      <c r="AT94" s="35">
        <f t="shared" si="25"/>
        <v>490.27779617688293</v>
      </c>
      <c r="AU94" s="35">
        <f t="shared" si="25"/>
        <v>550.59634768885724</v>
      </c>
      <c r="AV94" s="35">
        <f t="shared" si="25"/>
        <v>606.71012023192543</v>
      </c>
      <c r="AW94" s="34"/>
      <c r="AX94"/>
      <c r="AY94"/>
      <c r="AZ94"/>
    </row>
    <row r="95" spans="2:52" s="134" customFormat="1" ht="16">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-8.1312645626464928</v>
      </c>
      <c r="AR95" s="365">
        <f>AR62-AR94</f>
        <v>11.619756517201722</v>
      </c>
      <c r="AS95" s="365">
        <f t="shared" si="26"/>
        <v>-60.921052715313522</v>
      </c>
      <c r="AT95" s="365">
        <f t="shared" si="26"/>
        <v>4.8130134404573255E-2</v>
      </c>
      <c r="AU95" s="365">
        <f t="shared" si="26"/>
        <v>3.6416397772313758E-2</v>
      </c>
      <c r="AV95" s="365">
        <f t="shared" si="26"/>
        <v>0</v>
      </c>
      <c r="AW95" s="77"/>
      <c r="AX95" s="78"/>
      <c r="AY95" s="78"/>
      <c r="AZ95" s="78"/>
    </row>
    <row r="96" spans="2:52" s="21" customFormat="1" ht="16">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0</v>
      </c>
      <c r="AS97" s="368">
        <f>InputSummary!AS254</f>
        <v>0</v>
      </c>
      <c r="AT97" s="368">
        <f>InputSummary!AT254</f>
        <v>0</v>
      </c>
      <c r="AU97" s="368">
        <f>InputSummary!AU254</f>
        <v>0</v>
      </c>
      <c r="AV97" s="368">
        <f>InputSummary!AV254</f>
        <v>0</v>
      </c>
      <c r="AW97" s="34"/>
      <c r="AX97"/>
      <c r="AY97"/>
      <c r="AZ97"/>
    </row>
    <row r="98" spans="1:52" s="21" customFormat="1" ht="16">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
      <c r="E99" s="131" t="s">
        <v>314</v>
      </c>
      <c r="F99" s="21"/>
      <c r="G99" s="21" t="s">
        <v>206</v>
      </c>
      <c r="H99" s="21"/>
      <c r="I99" s="370">
        <f>InputSummary!I255</f>
        <v>0.06</v>
      </c>
      <c r="AQ99" s="369"/>
      <c r="AR99" s="143"/>
      <c r="AS99" s="143"/>
      <c r="AT99" s="143"/>
      <c r="AU99" s="143"/>
      <c r="AV99" s="143"/>
    </row>
    <row r="100" spans="1:52" s="21" customFormat="1" ht="16">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1.0156840397508378</v>
      </c>
      <c r="AR100" s="368">
        <f t="shared" ref="AR100:AV100" si="27">IFERROR(AR94/AR62,0)</f>
        <v>0.97859867681071389</v>
      </c>
      <c r="AS100" s="368">
        <f t="shared" si="27"/>
        <v>1.1016397180359219</v>
      </c>
      <c r="AT100" s="368">
        <f t="shared" si="27"/>
        <v>0.99990184052724551</v>
      </c>
      <c r="AU100" s="368">
        <f t="shared" si="27"/>
        <v>0.99993386445531851</v>
      </c>
      <c r="AV100" s="368">
        <f t="shared" si="27"/>
        <v>1</v>
      </c>
      <c r="AW100" s="34"/>
      <c r="AX100"/>
      <c r="AY100"/>
      <c r="AZ100"/>
    </row>
    <row r="101" spans="1:52" s="21" customFormat="1" ht="16">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(IF(AS100&gt;=1+$I99,1,0) + IF(AS100&lt;=1-$I99,-1,0)) * $I101</f>
        <v>1.15E-2</v>
      </c>
      <c r="AT101" s="126">
        <f t="shared" si="28"/>
        <v>0</v>
      </c>
      <c r="AU101" s="126">
        <f t="shared" si="28"/>
        <v>0</v>
      </c>
      <c r="AV101" s="126">
        <f t="shared" si="28"/>
        <v>0</v>
      </c>
      <c r="AW101" s="34"/>
      <c r="AX101"/>
      <c r="AY101"/>
      <c r="AZ101"/>
    </row>
    <row r="102" spans="1:52" s="21" customFormat="1" ht="16">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(AU62-AU94)*AU97*AU101</f>
        <v>0</v>
      </c>
      <c r="AW103" s="373"/>
      <c r="AX103" s="319"/>
      <c r="AY103" s="319"/>
      <c r="AZ103" s="319"/>
    </row>
    <row r="104" spans="1:52" s="21" customFormat="1" ht="16">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29">AU89 + AU103</f>
        <v>0</v>
      </c>
      <c r="AV105" s="373">
        <f t="shared" si="29"/>
        <v>0</v>
      </c>
      <c r="AW105" s="367"/>
      <c r="AX105" s="319"/>
      <c r="AY105" s="319"/>
      <c r="AZ105" s="319"/>
    </row>
    <row r="106" spans="1:52" s="21" customFormat="1" ht="16">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3.5"/>
    <row r="110" spans="1:52" ht="13.5"/>
  </sheetData>
  <conditionalFormatting sqref="K11:AV11">
    <cfRule type="cellIs" dxfId="53" priority="5" operator="equal">
      <formula>FALSE()</formula>
    </cfRule>
  </conditionalFormatting>
  <conditionalFormatting sqref="AM2">
    <cfRule type="expression" dxfId="52" priority="1">
      <formula>mac_sensitivity=2</formula>
    </cfRule>
    <cfRule type="expression" dxfId="51" priority="2">
      <formula>mac_sensitivity=1</formula>
    </cfRule>
  </conditionalFormatting>
  <conditionalFormatting sqref="AM3">
    <cfRule type="expression" dxfId="5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3 AU105:AV105 AR49:AV49 AS50:AV50 AS95:AV95 AS94:AV94"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zoomScale="85" zoomScaleNormal="85" workbookViewId="0">
      <selection activeCell="AR50" sqref="AR50:AV50"/>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 min="11" max="35" width="9.61328125" hidden="1" customWidth="1" outlineLevel="1"/>
    <col min="36" max="36" width="9.61328125" customWidth="1" collapsed="1"/>
    <col min="37" max="48" width="9.61328125" customWidth="1"/>
    <col min="49" max="49" width="3" customWidth="1"/>
    <col min="50" max="54" width="0" hidden="1" customWidth="1"/>
    <col min="55" max="16384" width="9" hidden="1"/>
  </cols>
  <sheetData>
    <row r="1" spans="1:49" ht="18.5">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
      <c r="A2" s="181"/>
      <c r="B2" s="157" t="str">
        <f>UserInterface!$E$30</f>
        <v>SPD</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2">
        <f t="shared" si="0"/>
        <v>2023</v>
      </c>
      <c r="AR6" s="159">
        <f t="shared" si="0"/>
        <v>2024</v>
      </c>
      <c r="AS6" s="159">
        <f t="shared" si="0"/>
        <v>2025</v>
      </c>
      <c r="AT6" s="159">
        <f t="shared" si="0"/>
        <v>2026</v>
      </c>
      <c r="AU6" s="159">
        <f t="shared" si="0"/>
        <v>2027</v>
      </c>
      <c r="AV6" s="159">
        <f t="shared" si="0"/>
        <v>2028</v>
      </c>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1">
        <v>4.0595818817694251E-2</v>
      </c>
      <c r="AS7" s="358">
        <v>1.694406930493586E-2</v>
      </c>
      <c r="AT7" s="358">
        <v>1.9104788826139751E-2</v>
      </c>
      <c r="AU7" s="358">
        <v>1.9975186831839853E-2</v>
      </c>
      <c r="AV7" s="358">
        <v>2.0000000000000684E-2</v>
      </c>
      <c r="AW7" s="2"/>
    </row>
    <row r="8" spans="1:49" ht="16">
      <c r="A8" s="2"/>
      <c r="B8" s="2"/>
      <c r="C8" s="2"/>
      <c r="D8" s="2"/>
      <c r="E8" s="2" t="s">
        <v>1253</v>
      </c>
      <c r="F8" s="2"/>
      <c r="G8" s="2" t="s">
        <v>1252</v>
      </c>
      <c r="H8" s="2"/>
      <c r="I8" s="500">
        <f t="array" ref="I8">YEAR(LARGE(IF('Monthly Inflation'!$H$5:$H$355&lt;&gt;"",'Monthly Inflation'!$E$5:$E$352),1))</f>
        <v>2025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OUTTURN</v>
      </c>
      <c r="AT21" s="251" t="str">
        <f t="shared" si="2"/>
        <v>FORECAST</v>
      </c>
      <c r="AU21" s="251" t="str">
        <f t="shared" si="2"/>
        <v>FORECAST</v>
      </c>
      <c r="AV21" s="251" t="str">
        <f t="shared" si="2"/>
        <v>FORECAST</v>
      </c>
      <c r="AW21" s="2"/>
    </row>
    <row r="22" spans="1:49" ht="16">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3">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389.95</v>
      </c>
      <c r="AT23" s="252">
        <f>IFERROR(AVERAGEIFS('Monthly Inflation'!$M:$M,'Monthly Inflation'!$E:$E,"&gt;="&amp;DATE(AT$6 - 1, $I11, $I12),'Monthly Inflation'!$E:$E,"&lt;="&amp;DATE(AT$6, $I11 - 1, $I12)),"")</f>
        <v>408.82611374685274</v>
      </c>
      <c r="AU23" s="252">
        <f>IFERROR(AVERAGEIFS('Monthly Inflation'!$M:$M,'Monthly Inflation'!$E:$E,"&gt;="&amp;DATE(AU$6 - 1, $I11, $I12),'Monthly Inflation'!$E:$E,"&lt;="&amp;DATE(AU$6, $I11 - 1, $I12)),"")</f>
        <v>423.266241740238</v>
      </c>
      <c r="AV23" s="252">
        <f>IFERROR(AVERAGEIFS('Monthly Inflation'!$M:$M,'Monthly Inflation'!$E:$E,"&gt;="&amp;DATE(AV$6 - 1, $I11, $I12),'Monthly Inflation'!$E:$E,"&lt;="&amp;DATE(AV$6, $I11 - 1, $I12)),"")</f>
        <v>436.21338748048788</v>
      </c>
      <c r="AW23" s="2"/>
    </row>
    <row r="24" spans="1:49" ht="16">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4">
        <f t="shared" si="3"/>
        <v>0.12873938777149907</v>
      </c>
      <c r="AR24" s="322">
        <f t="shared" si="3"/>
        <v>7.4787642955440825E-2</v>
      </c>
      <c r="AS24" s="322">
        <f t="shared" si="3"/>
        <v>3.3025740650801216E-2</v>
      </c>
      <c r="AT24" s="322">
        <f t="shared" si="3"/>
        <v>4.840649761983018E-2</v>
      </c>
      <c r="AU24" s="322">
        <f t="shared" si="3"/>
        <v>3.5320953108995079E-2</v>
      </c>
      <c r="AV24" s="322">
        <f t="shared" si="3"/>
        <v>3.058865665028776E-2</v>
      </c>
      <c r="AW24" s="2"/>
    </row>
    <row r="25" spans="1:49" ht="16">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3">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134.04166666666663</v>
      </c>
      <c r="AT26" s="252">
        <f>IFERROR(AVERAGEIFS('Monthly Inflation'!$L:$L,'Monthly Inflation'!$E:$E,"&gt;="&amp;DATE(AT$6-1,$I11, $I12),'Monthly Inflation'!$E:$E,"&lt;="&amp;DATE(AT$6,$I11-1,$I12)),"")</f>
        <v>139.37478397214281</v>
      </c>
      <c r="AU26" s="252">
        <f>IFERROR(AVERAGEIFS('Monthly Inflation'!$L:$L,'Monthly Inflation'!$E:$E,"&gt;="&amp;DATE(AU$6-1,$I11, $I12),'Monthly Inflation'!$E:$E,"&lt;="&amp;DATE(AU$6,$I11-1,$I12)),"")</f>
        <v>142.64922376101745</v>
      </c>
      <c r="AV26" s="252">
        <f>IFERROR(AVERAGEIFS('Monthly Inflation'!$L:$L,'Monthly Inflation'!$E:$E,"&gt;="&amp;DATE(AV$6-1,$I11, $I12),'Monthly Inflation'!$E:$E,"&lt;="&amp;DATE(AV$6,$I11-1,$I12)),"")</f>
        <v>145.54648033236796</v>
      </c>
      <c r="AW26" s="2"/>
    </row>
    <row r="27" spans="1:49" ht="16">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4">
        <f t="shared" si="4"/>
        <v>8.7741270075143429E-2</v>
      </c>
      <c r="AR27" s="322">
        <f t="shared" si="4"/>
        <v>5.5469014561462915E-2</v>
      </c>
      <c r="AS27" s="322">
        <f t="shared" si="4"/>
        <v>3.2148357289527585E-2</v>
      </c>
      <c r="AT27" s="322">
        <f t="shared" si="4"/>
        <v>3.9787011293574315E-2</v>
      </c>
      <c r="AU27" s="322">
        <f t="shared" si="4"/>
        <v>2.3493774810292134E-2</v>
      </c>
      <c r="AV27" s="322">
        <f t="shared" si="4"/>
        <v>2.0310356376031402E-2</v>
      </c>
      <c r="AW27" s="2"/>
    </row>
    <row r="28" spans="1:49" ht="16">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3">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388.82731892752673</v>
      </c>
      <c r="AT29" s="252">
        <f>IFERROR(AVERAGEIFS('Monthly Inflation'!$N:$N,'Monthly Inflation'!$E:$E,"&gt;="&amp;DATE(AT$6-1, $I11, $I12),'Monthly Inflation'!$E:$E,"&lt;="&amp;DATE(AT$6, $I11 - 1, $I12)),"")</f>
        <v>404.29759585694637</v>
      </c>
      <c r="AU29" s="252">
        <f>IFERROR(AVERAGEIFS('Monthly Inflation'!$N:$N,'Monthly Inflation'!$E:$E,"&gt;="&amp;DATE(AU$6-1, $I11, $I12),'Monthly Inflation'!$E:$E,"&lt;="&amp;DATE(AU$6, $I11 - 1, $I12)),"")</f>
        <v>413.79607253035232</v>
      </c>
      <c r="AV29" s="252">
        <f>IFERROR(AVERAGEIFS('Monthly Inflation'!$N:$N,'Monthly Inflation'!$E:$E,"&gt;="&amp;DATE(AV$6-1, $I11, $I12),'Monthly Inflation'!$E:$E,"&lt;="&amp;DATE(AV$6, $I11 - 1, $I12)),"")</f>
        <v>422.20041823044591</v>
      </c>
      <c r="AW29" s="2"/>
    </row>
    <row r="30" spans="1:49" ht="16">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4">
        <f t="shared" si="5"/>
        <v>0.12873938777149907</v>
      </c>
      <c r="AR30" s="322">
        <f t="shared" si="5"/>
        <v>7.2604286672181217E-2</v>
      </c>
      <c r="AS30" s="322">
        <f t="shared" si="5"/>
        <v>3.2148357289527585E-2</v>
      </c>
      <c r="AT30" s="322">
        <f t="shared" si="5"/>
        <v>3.9787011293574093E-2</v>
      </c>
      <c r="AU30" s="322">
        <f t="shared" si="5"/>
        <v>2.3493774810293022E-2</v>
      </c>
      <c r="AV30" s="322">
        <f t="shared" si="5"/>
        <v>2.0310356376031402E-2</v>
      </c>
      <c r="AW30" s="2"/>
    </row>
    <row r="31" spans="1:49" ht="16">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5">
        <f t="shared" si="6"/>
        <v>1.1939376770538244</v>
      </c>
      <c r="AR32" s="253">
        <f t="shared" si="6"/>
        <v>1.2806226704273584</v>
      </c>
      <c r="AS32" s="253">
        <f t="shared" si="6"/>
        <v>1.321792585589326</v>
      </c>
      <c r="AT32" s="253">
        <f t="shared" si="6"/>
        <v>1.3743827621199309</v>
      </c>
      <c r="AU32" s="253">
        <f t="shared" si="6"/>
        <v>1.4066722012363251</v>
      </c>
      <c r="AV32" s="253">
        <f t="shared" si="6"/>
        <v>1.4352422149476913</v>
      </c>
      <c r="AW32" s="2"/>
    </row>
    <row r="33" spans="1:49" ht="16">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6"/>
      <c r="AR34" s="305">
        <v>0.03</v>
      </c>
      <c r="AS34" s="305">
        <v>0.03</v>
      </c>
      <c r="AT34" s="305">
        <v>0.03</v>
      </c>
      <c r="AU34" s="305">
        <v>0.03</v>
      </c>
      <c r="AV34" s="305">
        <v>0.03</v>
      </c>
      <c r="AW34" s="2"/>
    </row>
    <row r="35" spans="1:49" ht="16">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6"/>
      <c r="AR35" s="305">
        <v>0.02</v>
      </c>
      <c r="AS35" s="305">
        <v>0.02</v>
      </c>
      <c r="AT35" s="305">
        <v>0.02</v>
      </c>
      <c r="AU35" s="305">
        <v>0.02</v>
      </c>
      <c r="AV35" s="305">
        <v>0.02</v>
      </c>
      <c r="AW35" s="2"/>
    </row>
    <row r="36" spans="1:49" ht="16">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OUTTURN</v>
      </c>
      <c r="AU39" s="251" t="str">
        <f t="shared" si="8"/>
        <v>FORECAST</v>
      </c>
      <c r="AV39" s="251" t="str">
        <f t="shared" si="8"/>
        <v>FORECAST</v>
      </c>
      <c r="AW39" s="2"/>
    </row>
    <row r="40" spans="1:49" ht="16">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397.11875631590988</v>
      </c>
      <c r="AU40" s="206">
        <f>IFERROR(AVERAGEIFS('Monthly Inflation'!$N:$N,'Monthly Inflation'!$E:$E,"&gt;="&amp;DATE(AU$6 - 1, $I11 - 1, $I12),'Monthly Inflation'!$E:$E,"&lt;="&amp;DATE(AU$6 - 1, $I11, $I12)),"")</f>
        <v>409.33258033889854</v>
      </c>
      <c r="AV40" s="206">
        <f>IFERROR(AVERAGEIFS('Monthly Inflation'!$N:$N,'Monthly Inflation'!$E:$E,"&gt;="&amp;DATE(AV$6 - 1, $I11 - 1, $I12),'Monthly Inflation'!$E:$E,"&lt;="&amp;DATE(AV$6 - 1, $I11, $I12)),"")</f>
        <v>417.97726553354613</v>
      </c>
      <c r="AW40" s="2"/>
    </row>
    <row r="41" spans="1:49" ht="16">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OUTTURN</v>
      </c>
      <c r="AT42" s="251" t="str">
        <f t="shared" si="10"/>
        <v>FORECAST</v>
      </c>
      <c r="AU42" s="251" t="str">
        <f t="shared" si="10"/>
        <v>FORECAST</v>
      </c>
      <c r="AV42" s="251" t="str">
        <f t="shared" si="10"/>
        <v>FORECAST</v>
      </c>
      <c r="AW42" s="2"/>
    </row>
    <row r="43" spans="1:49" ht="16">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397.11875631590988</v>
      </c>
      <c r="AT43" s="206">
        <f>IFERROR(AVERAGEIFS('Monthly Inflation'!$N:$N,'Monthly Inflation'!$E:$E,"&gt;="&amp;DATE(AT$6,$I11 - 1, $I12),'Monthly Inflation'!$E:$E,"&lt;="&amp;DATE(AT$6, $I11, $I12)),"")</f>
        <v>409.33258033889854</v>
      </c>
      <c r="AU43" s="206">
        <f>IFERROR(AVERAGEIFS('Monthly Inflation'!$N:$N,'Monthly Inflation'!$E:$E,"&gt;="&amp;DATE(AU$6,$I11 - 1, $I12),'Monthly Inflation'!$E:$E,"&lt;="&amp;DATE(AU$6, $I11, $I12)),"")</f>
        <v>417.97726553354613</v>
      </c>
      <c r="AV43" s="206">
        <f>IFERROR(AVERAGEIFS('Monthly Inflation'!$N:$N,'Monthly Inflation'!$E:$E,"&gt;="&amp;DATE(AV$6,$I11 - 1, $I12),'Monthly Inflation'!$E:$E,"&lt;="&amp;DATE(AV$6, $I11, $I12)),"")</f>
        <v>426.10805663597023</v>
      </c>
      <c r="AW43" s="2"/>
    </row>
    <row r="44" spans="1:49" ht="16">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1.3499787750115915</v>
      </c>
      <c r="AU45" s="256">
        <f t="shared" si="11"/>
        <v>1.3914988566761421</v>
      </c>
      <c r="AV45" s="256">
        <f t="shared" si="11"/>
        <v>1.420885888499307</v>
      </c>
      <c r="AW45" s="2"/>
    </row>
    <row r="46" spans="1:49" ht="16">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1.3499787750115915</v>
      </c>
      <c r="AT46" s="256">
        <f t="shared" si="12"/>
        <v>1.3914988566761421</v>
      </c>
      <c r="AU46" s="256">
        <f t="shared" si="12"/>
        <v>1.420885888499307</v>
      </c>
      <c r="AV46" s="256">
        <f t="shared" si="12"/>
        <v>1.4485259715670376</v>
      </c>
      <c r="AW46" s="2"/>
    </row>
    <row r="47" spans="1:49" ht="16">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7">
        <v>0</v>
      </c>
      <c r="AK50" s="497">
        <v>0</v>
      </c>
      <c r="AL50" s="497">
        <v>0</v>
      </c>
      <c r="AM50" s="441">
        <v>2.5628884588821732</v>
      </c>
      <c r="AN50" s="441">
        <v>1.5033471260387901</v>
      </c>
      <c r="AO50" s="441">
        <v>4.0452569031158125</v>
      </c>
      <c r="AP50" s="441">
        <v>11.584699426229506</v>
      </c>
      <c r="AQ50" s="441">
        <v>9.6910000000000007</v>
      </c>
      <c r="AR50" s="441">
        <v>3.5849815186325129</v>
      </c>
      <c r="AS50" s="441">
        <v>4.3267137962244462</v>
      </c>
      <c r="AT50" s="441">
        <v>3.711413121659124</v>
      </c>
      <c r="AU50" s="441">
        <v>3.1282634078222848</v>
      </c>
      <c r="AV50" s="441">
        <v>2.8700091896755264</v>
      </c>
      <c r="AW50" s="2"/>
    </row>
    <row r="51" spans="1:49" ht="16">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0.11111274569672129</v>
      </c>
      <c r="AR51" s="291">
        <f t="shared" si="13"/>
        <v>8.1644953796581293E-2</v>
      </c>
      <c r="AS51" s="291">
        <f t="shared" si="13"/>
        <v>3.7704145880304962E-2</v>
      </c>
      <c r="AT51" s="291">
        <f t="shared" si="13"/>
        <v>4.1728886275831156E-2</v>
      </c>
      <c r="AU51" s="291">
        <f t="shared" si="13"/>
        <v>3.5656256931999142E-2</v>
      </c>
      <c r="AV51" s="291">
        <f t="shared" si="13"/>
        <v>3.0636998532855952E-2</v>
      </c>
      <c r="AW51" s="2"/>
    </row>
    <row r="52" spans="1:49" ht="16">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7">
        <v>0</v>
      </c>
      <c r="AK53" s="497">
        <v>0</v>
      </c>
      <c r="AL53" s="497">
        <v>0</v>
      </c>
      <c r="AM53" s="441">
        <v>1.7910205867057716</v>
      </c>
      <c r="AN53" s="441">
        <v>0.85065402820156999</v>
      </c>
      <c r="AO53" s="441">
        <v>2.5882219500718202</v>
      </c>
      <c r="AP53" s="441">
        <v>9.0667455547039033</v>
      </c>
      <c r="AQ53" s="441">
        <v>7.3029999999999999</v>
      </c>
      <c r="AR53" s="441">
        <v>2.5301927741606001</v>
      </c>
      <c r="AS53" s="441">
        <v>3.4527688414550228</v>
      </c>
      <c r="AT53" s="441">
        <v>2.4801225431334784</v>
      </c>
      <c r="AU53" s="441">
        <v>2.0152390816676968</v>
      </c>
      <c r="AV53" s="441">
        <v>2.035043738253961</v>
      </c>
      <c r="AW53" s="2"/>
    </row>
    <row r="54" spans="1:49" ht="16">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8.6258091660279271E-2</v>
      </c>
      <c r="AR54" s="291">
        <f t="shared" si="14"/>
        <v>6.1097981935401502E-2</v>
      </c>
      <c r="AS54" s="291">
        <f t="shared" si="14"/>
        <v>2.7608367909842058E-2</v>
      </c>
      <c r="AT54" s="291">
        <f t="shared" si="14"/>
        <v>3.2096072668746367E-2</v>
      </c>
      <c r="AU54" s="291">
        <f t="shared" si="14"/>
        <v>2.363901677767033E-2</v>
      </c>
      <c r="AV54" s="291">
        <f t="shared" si="14"/>
        <v>2.0201902458142629E-2</v>
      </c>
      <c r="AW54" s="2"/>
    </row>
    <row r="55" spans="1:49" ht="16">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49" priority="21" operator="equal">
      <formula>"FORECAST"</formula>
    </cfRule>
  </conditionalFormatting>
  <conditionalFormatting sqref="K23:T26">
    <cfRule type="expression" dxfId="48" priority="20">
      <formula>K$21 = "FORECAST"</formula>
    </cfRule>
  </conditionalFormatting>
  <conditionalFormatting sqref="K23:AV24">
    <cfRule type="expression" dxfId="47" priority="17">
      <formula>K$21 = "FORECAST"</formula>
    </cfRule>
    <cfRule type="cellIs" dxfId="46" priority="18" operator="equal">
      <formula>"FORECAST"</formula>
    </cfRule>
  </conditionalFormatting>
  <conditionalFormatting sqref="K26:AV30">
    <cfRule type="expression" dxfId="45" priority="5">
      <formula>K$21 = "FORECAST"</formula>
    </cfRule>
  </conditionalFormatting>
  <conditionalFormatting sqref="K27:AV27">
    <cfRule type="cellIs" dxfId="44" priority="12" operator="equal">
      <formula>"FORECAST"</formula>
    </cfRule>
  </conditionalFormatting>
  <conditionalFormatting sqref="K30:AV30">
    <cfRule type="cellIs" dxfId="43" priority="6" operator="equal">
      <formula>"FORECAST"</formula>
    </cfRule>
  </conditionalFormatting>
  <conditionalFormatting sqref="K32:AV32">
    <cfRule type="expression" dxfId="42" priority="19">
      <formula>K$21 = "FORECAST"</formula>
    </cfRule>
  </conditionalFormatting>
  <conditionalFormatting sqref="K39:AV39">
    <cfRule type="cellIs" dxfId="41" priority="1" operator="equal">
      <formula>"FORECAST"</formula>
    </cfRule>
  </conditionalFormatting>
  <conditionalFormatting sqref="K40:AV41">
    <cfRule type="expression" dxfId="40" priority="4">
      <formula>K$39 = "FORECAST"</formula>
    </cfRule>
  </conditionalFormatting>
  <conditionalFormatting sqref="K42:AV46">
    <cfRule type="cellIs" dxfId="39" priority="3" operator="equal">
      <formula>"FORECAST"</formula>
    </cfRule>
  </conditionalFormatting>
  <conditionalFormatting sqref="K43:AV46">
    <cfRule type="expression" dxfId="38" priority="2">
      <formula>K$42 = "FORECAST"</formula>
    </cfRule>
  </conditionalFormatting>
  <conditionalFormatting sqref="U27:V27 X27:AV27">
    <cfRule type="expression" dxfId="37" priority="15">
      <formula>U$21 = "FORECAST"</formula>
    </cfRule>
  </conditionalFormatting>
  <conditionalFormatting sqref="U30:V30 X30:AV30">
    <cfRule type="expression" dxfId="36" priority="9">
      <formula>U$21 = "FORECAST"</formula>
    </cfRule>
  </conditionalFormatting>
  <conditionalFormatting sqref="U21:AV23 U24:V24 X24:AV24 U25:AV25">
    <cfRule type="cellIs" dxfId="35" priority="24" operator="equal">
      <formula>"FORECAST"</formula>
    </cfRule>
  </conditionalFormatting>
  <conditionalFormatting sqref="U23:AV23 U24:V24 X24:AV24 U25:AV26 U28:AV29">
    <cfRule type="expression" dxfId="34"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304" zoomScale="85" zoomScaleNormal="85" workbookViewId="0">
      <selection activeCell="H318" sqref="H318"/>
    </sheetView>
  </sheetViews>
  <sheetFormatPr defaultColWidth="0" defaultRowHeight="13.5" zeroHeight="1"/>
  <cols>
    <col min="1" max="4" width="1.4609375" customWidth="1"/>
    <col min="5" max="14" width="22.765625" customWidth="1"/>
    <col min="15" max="16" width="9" customWidth="1"/>
    <col min="17" max="18" width="9.61328125" customWidth="1"/>
    <col min="19" max="38" width="9.61328125" hidden="1" customWidth="1"/>
    <col min="39" max="55" width="9" hidden="1" customWidth="1"/>
    <col min="56" max="57" width="0" hidden="1" customWidth="1"/>
    <col min="58" max="16384" width="9" hidden="1"/>
  </cols>
  <sheetData>
    <row r="1" spans="1:14" ht="18.5">
      <c r="A1" s="195" t="s">
        <v>70</v>
      </c>
      <c r="B1" s="181"/>
      <c r="C1" s="181"/>
      <c r="D1" s="181"/>
      <c r="E1" s="181"/>
      <c r="F1" s="181"/>
      <c r="G1" s="181"/>
      <c r="H1" s="181"/>
      <c r="I1" s="181"/>
      <c r="J1" s="181"/>
      <c r="K1" s="181"/>
      <c r="L1" s="247"/>
      <c r="M1" s="247"/>
      <c r="N1" s="247"/>
    </row>
    <row r="2" spans="1:14" ht="16">
      <c r="A2" s="181"/>
      <c r="B2" s="157"/>
      <c r="C2" s="181"/>
      <c r="D2" s="181"/>
      <c r="E2" s="181"/>
      <c r="F2" s="181"/>
      <c r="G2" s="181"/>
      <c r="H2" s="181"/>
      <c r="I2" s="181"/>
      <c r="J2" s="181"/>
      <c r="K2" s="181"/>
      <c r="L2" s="247"/>
      <c r="M2" s="247"/>
      <c r="N2" s="247"/>
    </row>
    <row r="3" spans="1:14" ht="16">
      <c r="A3" s="181"/>
      <c r="B3" s="181"/>
      <c r="C3" s="181"/>
      <c r="D3" s="181"/>
      <c r="E3" s="179"/>
      <c r="F3" s="179"/>
      <c r="G3" s="179"/>
      <c r="H3" s="478" t="s">
        <v>1289</v>
      </c>
      <c r="I3" s="478" t="s">
        <v>1290</v>
      </c>
      <c r="J3" s="179"/>
      <c r="K3" s="179"/>
      <c r="L3" s="247"/>
      <c r="M3" s="247"/>
      <c r="N3" s="247"/>
    </row>
    <row r="4" spans="1:14" ht="32">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6">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
      <c r="A27" s="2"/>
      <c r="B27" s="2"/>
      <c r="C27" s="2"/>
      <c r="D27" s="2"/>
      <c r="E27" s="248">
        <v>36923</v>
      </c>
      <c r="F27" s="323">
        <f t="shared" si="0"/>
        <v>36950</v>
      </c>
      <c r="G27" s="159">
        <f t="shared" si="1"/>
        <v>2001</v>
      </c>
      <c r="H27" s="290">
        <v>73.7</v>
      </c>
      <c r="I27" s="560">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
      <c r="A33" s="2"/>
      <c r="B33" s="2"/>
      <c r="C33" s="2"/>
      <c r="D33" s="2"/>
      <c r="E33" s="248">
        <v>37104</v>
      </c>
      <c r="F33" s="323">
        <f t="shared" si="0"/>
        <v>37134</v>
      </c>
      <c r="G33" s="159">
        <f t="shared" si="1"/>
        <v>2002</v>
      </c>
      <c r="H33" s="290">
        <v>74.8</v>
      </c>
      <c r="I33" s="560">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
      <c r="E72" s="248">
        <v>38292</v>
      </c>
      <c r="F72" s="323">
        <f t="shared" si="5"/>
        <v>38321</v>
      </c>
      <c r="G72" s="159">
        <f t="shared" si="6"/>
        <v>2005</v>
      </c>
      <c r="H72" s="290">
        <v>78.3</v>
      </c>
      <c r="I72" s="560">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
      <c r="E78" s="248">
        <v>38473</v>
      </c>
      <c r="F78" s="323">
        <f t="shared" si="5"/>
        <v>38503</v>
      </c>
      <c r="G78" s="159">
        <f t="shared" si="6"/>
        <v>2006</v>
      </c>
      <c r="H78" s="290">
        <v>79.400000000000006</v>
      </c>
      <c r="I78" s="560">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
      <c r="E88" s="248">
        <v>38777</v>
      </c>
      <c r="F88" s="323">
        <f t="shared" si="5"/>
        <v>38807</v>
      </c>
      <c r="G88" s="159">
        <f t="shared" si="6"/>
        <v>2006</v>
      </c>
      <c r="H88" s="290">
        <v>80.400000000000006</v>
      </c>
      <c r="I88" s="560">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
      <c r="E106" s="248">
        <v>39326</v>
      </c>
      <c r="F106" s="323">
        <f t="shared" si="5"/>
        <v>39355</v>
      </c>
      <c r="G106" s="159">
        <f t="shared" si="6"/>
        <v>2008</v>
      </c>
      <c r="H106" s="290">
        <v>83.5</v>
      </c>
      <c r="I106" s="560">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
      <c r="E113" s="248">
        <v>39539</v>
      </c>
      <c r="F113" s="323">
        <f t="shared" si="5"/>
        <v>39568</v>
      </c>
      <c r="G113" s="159">
        <f t="shared" si="6"/>
        <v>2009</v>
      </c>
      <c r="H113" s="290">
        <v>85.6</v>
      </c>
      <c r="I113" s="560">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
      <c r="E120" s="248">
        <v>39753</v>
      </c>
      <c r="F120" s="323">
        <f t="shared" si="5"/>
        <v>39782</v>
      </c>
      <c r="G120" s="159">
        <f t="shared" si="6"/>
        <v>2009</v>
      </c>
      <c r="H120" s="290">
        <v>87.3</v>
      </c>
      <c r="I120" s="560">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
      <c r="E131" s="248">
        <v>40087</v>
      </c>
      <c r="F131" s="323">
        <f t="shared" si="5"/>
        <v>40117</v>
      </c>
      <c r="G131" s="159">
        <f t="shared" si="6"/>
        <v>2010</v>
      </c>
      <c r="H131" s="290">
        <v>88.4</v>
      </c>
      <c r="I131" s="560">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
      <c r="E133" s="248">
        <v>40148</v>
      </c>
      <c r="F133" s="323">
        <f t="shared" si="5"/>
        <v>40178</v>
      </c>
      <c r="G133" s="159">
        <f t="shared" si="6"/>
        <v>2010</v>
      </c>
      <c r="H133" s="290">
        <v>88.9</v>
      </c>
      <c r="I133" s="560">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
      <c r="E146" s="248">
        <v>40544</v>
      </c>
      <c r="F146" s="323">
        <f t="shared" si="10"/>
        <v>40574</v>
      </c>
      <c r="G146" s="159">
        <f t="shared" si="11"/>
        <v>2011</v>
      </c>
      <c r="H146" s="290">
        <v>91.8</v>
      </c>
      <c r="I146" s="560">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
      <c r="E155" s="248">
        <v>40817</v>
      </c>
      <c r="F155" s="323">
        <f t="shared" si="10"/>
        <v>40847</v>
      </c>
      <c r="G155" s="159">
        <f t="shared" si="11"/>
        <v>2012</v>
      </c>
      <c r="H155" s="290">
        <v>94.5</v>
      </c>
      <c r="I155" s="560">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
      <c r="E158" s="248">
        <v>40909</v>
      </c>
      <c r="F158" s="323">
        <f t="shared" si="10"/>
        <v>40939</v>
      </c>
      <c r="G158" s="159">
        <f t="shared" si="11"/>
        <v>2012</v>
      </c>
      <c r="H158" s="290">
        <v>94.7</v>
      </c>
      <c r="I158" s="560">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
      <c r="E165" s="248">
        <v>41122</v>
      </c>
      <c r="F165" s="323">
        <f t="shared" si="10"/>
        <v>41152</v>
      </c>
      <c r="G165" s="159">
        <f t="shared" si="11"/>
        <v>2013</v>
      </c>
      <c r="H165" s="290">
        <v>96.1</v>
      </c>
      <c r="I165" s="560">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
      <c r="E174" s="248">
        <v>41395</v>
      </c>
      <c r="F174" s="323">
        <f t="shared" si="10"/>
        <v>41425</v>
      </c>
      <c r="G174" s="159">
        <f t="shared" si="11"/>
        <v>2014</v>
      </c>
      <c r="H174" s="290">
        <v>98.2</v>
      </c>
      <c r="I174" s="560">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
      <c r="E177" s="248">
        <v>41487</v>
      </c>
      <c r="F177" s="323">
        <f t="shared" si="10"/>
        <v>41517</v>
      </c>
      <c r="G177" s="159">
        <f t="shared" si="11"/>
        <v>2014</v>
      </c>
      <c r="H177" s="290">
        <v>98.4</v>
      </c>
      <c r="I177" s="560">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
      <c r="E188" s="248">
        <v>41821</v>
      </c>
      <c r="F188" s="323">
        <f t="shared" si="10"/>
        <v>41851</v>
      </c>
      <c r="G188" s="159">
        <f t="shared" si="11"/>
        <v>2015</v>
      </c>
      <c r="H188" s="290">
        <v>99.6</v>
      </c>
      <c r="I188" s="560">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
      <c r="E189" s="248">
        <v>41852</v>
      </c>
      <c r="F189" s="323">
        <f t="shared" si="10"/>
        <v>41882</v>
      </c>
      <c r="G189" s="159">
        <f t="shared" si="11"/>
        <v>2015</v>
      </c>
      <c r="H189" s="290">
        <v>99.9</v>
      </c>
      <c r="I189" s="560">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
      <c r="E197" s="248">
        <v>42095</v>
      </c>
      <c r="F197" s="323">
        <f t="shared" si="10"/>
        <v>42124</v>
      </c>
      <c r="G197" s="159">
        <f t="shared" si="11"/>
        <v>2016</v>
      </c>
      <c r="H197" s="290">
        <v>99.9</v>
      </c>
      <c r="I197" s="560">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
      <c r="E207" s="248">
        <v>42401</v>
      </c>
      <c r="F207" s="323">
        <f t="shared" si="15"/>
        <v>42429</v>
      </c>
      <c r="G207" s="159">
        <f t="shared" si="16"/>
        <v>2016</v>
      </c>
      <c r="H207" s="290">
        <v>100.1</v>
      </c>
      <c r="I207" s="560">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
      <c r="E230" s="248">
        <v>43101</v>
      </c>
      <c r="F230" s="323">
        <f t="shared" si="15"/>
        <v>43131</v>
      </c>
      <c r="G230" s="159">
        <f t="shared" si="16"/>
        <v>2018</v>
      </c>
      <c r="H230" s="290">
        <v>104.5</v>
      </c>
      <c r="I230" s="560">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
      <c r="E242" s="248">
        <v>43466</v>
      </c>
      <c r="F242" s="323">
        <f t="shared" si="15"/>
        <v>43496</v>
      </c>
      <c r="G242" s="159">
        <f t="shared" si="16"/>
        <v>2019</v>
      </c>
      <c r="H242" s="290">
        <v>106.4</v>
      </c>
      <c r="I242" s="560">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
      <c r="E243" s="248">
        <v>43497</v>
      </c>
      <c r="F243" s="323">
        <f t="shared" si="15"/>
        <v>43524</v>
      </c>
      <c r="G243" s="159">
        <f t="shared" si="16"/>
        <v>2019</v>
      </c>
      <c r="H243" s="290">
        <v>106.8</v>
      </c>
      <c r="I243" s="560">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
      <c r="E250" s="248">
        <v>43709</v>
      </c>
      <c r="F250" s="323">
        <f t="shared" si="15"/>
        <v>43738</v>
      </c>
      <c r="G250" s="159">
        <f t="shared" si="16"/>
        <v>2020</v>
      </c>
      <c r="H250" s="290">
        <v>108.4</v>
      </c>
      <c r="I250" s="560">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
      <c r="E252" s="248">
        <v>43770</v>
      </c>
      <c r="F252" s="323">
        <f t="shared" si="15"/>
        <v>43799</v>
      </c>
      <c r="G252" s="159">
        <f t="shared" si="16"/>
        <v>2020</v>
      </c>
      <c r="H252" s="290">
        <v>108.5</v>
      </c>
      <c r="I252" s="560">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
      <c r="E255" s="248">
        <v>43862</v>
      </c>
      <c r="F255" s="323">
        <f t="shared" si="15"/>
        <v>43890</v>
      </c>
      <c r="G255" s="159">
        <f t="shared" si="16"/>
        <v>2020</v>
      </c>
      <c r="H255" s="290">
        <v>108.6</v>
      </c>
      <c r="I255" s="560">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
      <c r="E267" s="248">
        <v>44228</v>
      </c>
      <c r="F267" s="323">
        <f t="shared" si="20"/>
        <v>44255</v>
      </c>
      <c r="G267" s="159">
        <f t="shared" si="21"/>
        <v>2021</v>
      </c>
      <c r="H267" s="290">
        <v>109.4</v>
      </c>
      <c r="I267" s="560">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
      <c r="E271" s="248">
        <v>44348</v>
      </c>
      <c r="F271" s="323">
        <f t="shared" si="20"/>
        <v>44377</v>
      </c>
      <c r="G271" s="159">
        <f t="shared" si="21"/>
        <v>2022</v>
      </c>
      <c r="H271" s="290">
        <v>111.4</v>
      </c>
      <c r="I271" s="560">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
      <c r="E275" s="248">
        <v>44470</v>
      </c>
      <c r="F275" s="323">
        <f t="shared" si="20"/>
        <v>44500</v>
      </c>
      <c r="G275" s="159">
        <f t="shared" si="21"/>
        <v>2022</v>
      </c>
      <c r="H275" s="290">
        <v>113.4</v>
      </c>
      <c r="I275" s="560">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
      <c r="E282" s="248">
        <v>44682</v>
      </c>
      <c r="F282" s="323">
        <f t="shared" si="20"/>
        <v>44712</v>
      </c>
      <c r="G282" s="159">
        <f t="shared" si="21"/>
        <v>2023</v>
      </c>
      <c r="H282" s="559">
        <v>119.7</v>
      </c>
      <c r="I282" s="498">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
      <c r="E283" s="248">
        <v>44713</v>
      </c>
      <c r="F283" s="323">
        <f t="shared" si="20"/>
        <v>44742</v>
      </c>
      <c r="G283" s="159">
        <f t="shared" si="21"/>
        <v>2023</v>
      </c>
      <c r="H283" s="559">
        <v>120.5</v>
      </c>
      <c r="I283" s="55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
      <c r="E284" s="248">
        <v>44743</v>
      </c>
      <c r="F284" s="323">
        <f t="shared" si="20"/>
        <v>44773</v>
      </c>
      <c r="G284" s="159">
        <f t="shared" si="21"/>
        <v>2023</v>
      </c>
      <c r="H284" s="499">
        <v>121.2</v>
      </c>
      <c r="I284" s="499">
        <v>343.2</v>
      </c>
      <c r="J284" s="257">
        <f>IF($E284&lt;DATE(2018,7,1),"-",INDEX('Annual Inflation'!$AM$53:$BA$53, MATCH(YEAR(EOMONTH($E284,6)), 'Annual Inflation'!$AM$6:$BA$6, 0))/100)</f>
        <v>7.3029999999999998E-2</v>
      </c>
      <c r="K284" s="257">
        <f>IF($E284&lt;DATE(2018,7,1),"-",INDEX('Annual Inflation'!$AM$50:$BA$50, MATCH(YEAR(EOMONTH($E284,6)), 'Annual Inflation'!$AM$6:$BA$6, 0))/100)</f>
        <v>9.691000000000001E-2</v>
      </c>
      <c r="L284" s="258">
        <f t="shared" si="25"/>
        <v>121.2</v>
      </c>
      <c r="M284" s="258">
        <f t="shared" si="26"/>
        <v>343.2</v>
      </c>
      <c r="N284" s="258">
        <f t="shared" si="24"/>
        <v>343.2</v>
      </c>
    </row>
    <row r="285" spans="5:14" ht="16">
      <c r="E285" s="248">
        <v>44774</v>
      </c>
      <c r="F285" s="323">
        <f t="shared" si="20"/>
        <v>44804</v>
      </c>
      <c r="G285" s="159">
        <f t="shared" si="21"/>
        <v>2023</v>
      </c>
      <c r="H285" s="499">
        <v>121.8</v>
      </c>
      <c r="I285" s="499">
        <v>345.2</v>
      </c>
      <c r="J285" s="257">
        <f>IF($E285&lt;DATE(2018,7,1),"-",INDEX('Annual Inflation'!$AM$53:$BA$53, MATCH(YEAR(EOMONTH($E285,6)), 'Annual Inflation'!$AM$6:$BA$6, 0))/100)</f>
        <v>7.3029999999999998E-2</v>
      </c>
      <c r="K285" s="257">
        <f>IF($E285&lt;DATE(2018,7,1),"-",INDEX('Annual Inflation'!$AM$50:$BA$50, MATCH(YEAR(EOMONTH($E285,6)), 'Annual Inflation'!$AM$6:$BA$6, 0))/100)</f>
        <v>9.691000000000001E-2</v>
      </c>
      <c r="L285" s="258">
        <f t="shared" si="25"/>
        <v>121.8</v>
      </c>
      <c r="M285" s="258">
        <f t="shared" si="26"/>
        <v>345.2</v>
      </c>
      <c r="N285" s="258">
        <f t="shared" si="24"/>
        <v>345.2</v>
      </c>
    </row>
    <row r="286" spans="5:14" ht="16">
      <c r="E286" s="248">
        <v>44805</v>
      </c>
      <c r="F286" s="323">
        <f t="shared" si="20"/>
        <v>44834</v>
      </c>
      <c r="G286" s="159">
        <f t="shared" si="21"/>
        <v>2023</v>
      </c>
      <c r="H286" s="499">
        <v>122.3</v>
      </c>
      <c r="I286" s="499">
        <v>347.6</v>
      </c>
      <c r="J286" s="257">
        <f>IF($E286&lt;DATE(2018,7,1),"-",INDEX('Annual Inflation'!$AM$53:$BA$53, MATCH(YEAR(EOMONTH($E286,6)), 'Annual Inflation'!$AM$6:$BA$6, 0))/100)</f>
        <v>7.3029999999999998E-2</v>
      </c>
      <c r="K286" s="257">
        <f>IF($E286&lt;DATE(2018,7,1),"-",INDEX('Annual Inflation'!$AM$50:$BA$50, MATCH(YEAR(EOMONTH($E286,6)), 'Annual Inflation'!$AM$6:$BA$6, 0))/100)</f>
        <v>9.691000000000001E-2</v>
      </c>
      <c r="L286" s="258">
        <f t="shared" si="25"/>
        <v>122.3</v>
      </c>
      <c r="M286" s="258">
        <f t="shared" si="26"/>
        <v>347.6</v>
      </c>
      <c r="N286" s="258">
        <f t="shared" si="24"/>
        <v>347.6</v>
      </c>
    </row>
    <row r="287" spans="5:14" ht="16">
      <c r="E287" s="248">
        <v>44835</v>
      </c>
      <c r="F287" s="323">
        <f t="shared" si="20"/>
        <v>44865</v>
      </c>
      <c r="G287" s="159">
        <f t="shared" si="21"/>
        <v>2023</v>
      </c>
      <c r="H287" s="499">
        <v>124.3</v>
      </c>
      <c r="I287" s="499">
        <v>356.2</v>
      </c>
      <c r="J287" s="257">
        <f>IF($E287&lt;DATE(2018,7,1),"-",INDEX('Annual Inflation'!$AM$53:$BA$53, MATCH(YEAR(EOMONTH($E287,6)), 'Annual Inflation'!$AM$6:$BA$6, 0))/100)</f>
        <v>7.3029999999999998E-2</v>
      </c>
      <c r="K287" s="257">
        <f>IF($E287&lt;DATE(2018,7,1),"-",INDEX('Annual Inflation'!$AM$50:$BA$50, MATCH(YEAR(EOMONTH($E287,6)), 'Annual Inflation'!$AM$6:$BA$6, 0))/100)</f>
        <v>9.691000000000001E-2</v>
      </c>
      <c r="L287" s="258">
        <f t="shared" si="25"/>
        <v>124.3</v>
      </c>
      <c r="M287" s="258">
        <f t="shared" si="26"/>
        <v>356.2</v>
      </c>
      <c r="N287" s="258">
        <f t="shared" si="24"/>
        <v>356.2</v>
      </c>
    </row>
    <row r="288" spans="5:14" ht="16">
      <c r="E288" s="248">
        <v>44866</v>
      </c>
      <c r="F288" s="323">
        <f t="shared" si="20"/>
        <v>44895</v>
      </c>
      <c r="G288" s="159">
        <f t="shared" si="21"/>
        <v>2023</v>
      </c>
      <c r="H288" s="499">
        <v>124.8</v>
      </c>
      <c r="I288" s="499">
        <v>358.3</v>
      </c>
      <c r="J288" s="257">
        <f>IF($E288&lt;DATE(2018,7,1),"-",INDEX('Annual Inflation'!$AM$53:$BA$53, MATCH(YEAR(EOMONTH($E288,6)), 'Annual Inflation'!$AM$6:$BA$6, 0))/100)</f>
        <v>7.3029999999999998E-2</v>
      </c>
      <c r="K288" s="257">
        <f>IF($E288&lt;DATE(2018,7,1),"-",INDEX('Annual Inflation'!$AM$50:$BA$50, MATCH(YEAR(EOMONTH($E288,6)), 'Annual Inflation'!$AM$6:$BA$6, 0))/100)</f>
        <v>9.691000000000001E-2</v>
      </c>
      <c r="L288" s="258">
        <f t="shared" si="22"/>
        <v>124.8</v>
      </c>
      <c r="M288" s="258">
        <f t="shared" si="23"/>
        <v>358.3</v>
      </c>
      <c r="N288" s="258">
        <f t="shared" si="24"/>
        <v>358.3</v>
      </c>
    </row>
    <row r="289" spans="5:14" ht="16">
      <c r="E289" s="248">
        <v>44896</v>
      </c>
      <c r="F289" s="323">
        <f t="shared" si="20"/>
        <v>44926</v>
      </c>
      <c r="G289" s="159">
        <f t="shared" si="21"/>
        <v>2023</v>
      </c>
      <c r="H289" s="499">
        <v>125.3</v>
      </c>
      <c r="I289" s="499">
        <v>360.4</v>
      </c>
      <c r="J289" s="257">
        <f>IF($E289&lt;DATE(2018,7,1),"-",INDEX('Annual Inflation'!$AM$53:$BA$53, MATCH(YEAR(EOMONTH($E289,6)), 'Annual Inflation'!$AM$6:$BA$6, 0))/100)</f>
        <v>7.3029999999999998E-2</v>
      </c>
      <c r="K289" s="257">
        <f>IF($E289&lt;DATE(2018,7,1),"-",INDEX('Annual Inflation'!$AM$50:$BA$50, MATCH(YEAR(EOMONTH($E289,6)), 'Annual Inflation'!$AM$6:$BA$6, 0))/100)</f>
        <v>9.691000000000001E-2</v>
      </c>
      <c r="L289" s="258">
        <f t="shared" si="22"/>
        <v>125.3</v>
      </c>
      <c r="M289" s="258">
        <f t="shared" si="23"/>
        <v>360.4</v>
      </c>
      <c r="N289" s="258">
        <f t="shared" si="24"/>
        <v>360.4</v>
      </c>
    </row>
    <row r="290" spans="5:14" ht="16">
      <c r="E290" s="248">
        <v>44927</v>
      </c>
      <c r="F290" s="323">
        <f t="shared" si="20"/>
        <v>44957</v>
      </c>
      <c r="G290" s="159">
        <f t="shared" si="21"/>
        <v>2023</v>
      </c>
      <c r="H290" s="499">
        <v>124.8</v>
      </c>
      <c r="I290" s="499">
        <v>360.3</v>
      </c>
      <c r="J290" s="257">
        <f>IF($E290&lt;DATE(2018,7,1),"-",INDEX('Annual Inflation'!$AM$53:$BA$53, MATCH(YEAR(EOMONTH($E290,6)), 'Annual Inflation'!$AM$6:$BA$6, 0))/100)</f>
        <v>7.3029999999999998E-2</v>
      </c>
      <c r="K290" s="257">
        <f>IF($E290&lt;DATE(2018,7,1),"-",INDEX('Annual Inflation'!$AM$50:$BA$50, MATCH(YEAR(EOMONTH($E290,6)), 'Annual Inflation'!$AM$6:$BA$6, 0))/100)</f>
        <v>9.691000000000001E-2</v>
      </c>
      <c r="L290" s="258">
        <f t="shared" si="22"/>
        <v>124.8</v>
      </c>
      <c r="M290" s="258">
        <f t="shared" si="23"/>
        <v>360.3</v>
      </c>
      <c r="N290" s="258">
        <f t="shared" si="24"/>
        <v>360.3</v>
      </c>
    </row>
    <row r="291" spans="5:14" ht="16">
      <c r="E291" s="248">
        <v>44958</v>
      </c>
      <c r="F291" s="323">
        <f t="shared" si="20"/>
        <v>44985</v>
      </c>
      <c r="G291" s="159">
        <f t="shared" si="21"/>
        <v>2023</v>
      </c>
      <c r="H291" s="558">
        <v>126</v>
      </c>
      <c r="I291" s="499">
        <v>364.5</v>
      </c>
      <c r="J291" s="257">
        <f>IF($E291&lt;DATE(2018,7,1),"-",INDEX('Annual Inflation'!$AM$53:$BA$53, MATCH(YEAR(EOMONTH($E291,6)), 'Annual Inflation'!$AM$6:$BA$6, 0))/100)</f>
        <v>7.3029999999999998E-2</v>
      </c>
      <c r="K291" s="257">
        <f>IF($E291&lt;DATE(2018,7,1),"-",INDEX('Annual Inflation'!$AM$50:$BA$50, MATCH(YEAR(EOMONTH($E291,6)), 'Annual Inflation'!$AM$6:$BA$6, 0))/100)</f>
        <v>9.691000000000001E-2</v>
      </c>
      <c r="L291" s="258">
        <f t="shared" si="22"/>
        <v>126</v>
      </c>
      <c r="M291" s="258">
        <f t="shared" si="23"/>
        <v>364.5</v>
      </c>
      <c r="N291" s="258">
        <f t="shared" si="24"/>
        <v>364.5</v>
      </c>
    </row>
    <row r="292" spans="5:14" ht="16">
      <c r="E292" s="248">
        <v>44986</v>
      </c>
      <c r="F292" s="323">
        <f t="shared" si="20"/>
        <v>45016</v>
      </c>
      <c r="G292" s="159">
        <f t="shared" si="21"/>
        <v>2023</v>
      </c>
      <c r="H292" s="499">
        <v>126.8</v>
      </c>
      <c r="I292" s="499">
        <v>367.2</v>
      </c>
      <c r="J292" s="257">
        <f>IF($E292&lt;DATE(2018,7,1),"-",INDEX('Annual Inflation'!$AM$53:$BA$53, MATCH(YEAR(EOMONTH($E292,6)), 'Annual Inflation'!$AM$6:$BA$6, 0))/100)</f>
        <v>7.3029999999999998E-2</v>
      </c>
      <c r="K292" s="257">
        <f>IF($E292&lt;DATE(2018,7,1),"-",INDEX('Annual Inflation'!$AM$50:$BA$50, MATCH(YEAR(EOMONTH($E292,6)), 'Annual Inflation'!$AM$6:$BA$6, 0))/100)</f>
        <v>9.691000000000001E-2</v>
      </c>
      <c r="L292" s="258">
        <f t="shared" si="22"/>
        <v>126.8</v>
      </c>
      <c r="M292" s="258">
        <f t="shared" si="23"/>
        <v>367.2</v>
      </c>
      <c r="N292" s="258">
        <f t="shared" si="24"/>
        <v>367.2</v>
      </c>
    </row>
    <row r="293" spans="5:14" ht="16">
      <c r="E293" s="248">
        <v>45017</v>
      </c>
      <c r="F293" s="323">
        <f t="shared" si="20"/>
        <v>45046</v>
      </c>
      <c r="G293" s="159">
        <f t="shared" si="21"/>
        <v>2024</v>
      </c>
      <c r="H293" s="499">
        <v>128.30000000000001</v>
      </c>
      <c r="I293" s="499">
        <v>372.8</v>
      </c>
      <c r="J293" s="257">
        <f>IF($E293&lt;DATE(2018,7,1),"-",INDEX('Annual Inflation'!$AM$53:$BA$53, MATCH(YEAR(EOMONTH($E293,6)), 'Annual Inflation'!$AM$6:$BA$6, 0))/100)</f>
        <v>7.3029999999999998E-2</v>
      </c>
      <c r="K293" s="257">
        <f>IF($E293&lt;DATE(2018,7,1),"-",INDEX('Annual Inflation'!$AM$50:$BA$50, MATCH(YEAR(EOMONTH($E293,6)), 'Annual Inflation'!$AM$6:$BA$6, 0))/100)</f>
        <v>9.691000000000001E-2</v>
      </c>
      <c r="L293" s="258">
        <f t="shared" si="22"/>
        <v>128.30000000000001</v>
      </c>
      <c r="M293" s="258">
        <f t="shared" si="23"/>
        <v>372.8</v>
      </c>
      <c r="N293" s="258">
        <f t="shared" si="24"/>
        <v>372.17192429022083</v>
      </c>
    </row>
    <row r="294" spans="5:14" ht="16">
      <c r="E294" s="248">
        <v>45047</v>
      </c>
      <c r="F294" s="323">
        <f t="shared" si="20"/>
        <v>45077</v>
      </c>
      <c r="G294" s="159">
        <f t="shared" si="21"/>
        <v>2024</v>
      </c>
      <c r="H294" s="499">
        <v>129.1</v>
      </c>
      <c r="I294" s="499">
        <v>375.3</v>
      </c>
      <c r="J294" s="257">
        <f>IF($E294&lt;DATE(2018,7,1),"-",INDEX('Annual Inflation'!$AM$53:$BA$53, MATCH(YEAR(EOMONTH($E294,6)), 'Annual Inflation'!$AM$6:$BA$6, 0))/100)</f>
        <v>7.3029999999999998E-2</v>
      </c>
      <c r="K294" s="257">
        <f>IF($E294&lt;DATE(2018,7,1),"-",INDEX('Annual Inflation'!$AM$50:$BA$50, MATCH(YEAR(EOMONTH($E294,6)), 'Annual Inflation'!$AM$6:$BA$6, 0))/100)</f>
        <v>9.691000000000001E-2</v>
      </c>
      <c r="L294" s="258">
        <f t="shared" si="22"/>
        <v>129.1</v>
      </c>
      <c r="M294" s="258">
        <f t="shared" si="23"/>
        <v>375.3</v>
      </c>
      <c r="N294" s="258">
        <f t="shared" si="24"/>
        <v>374.49255982749423</v>
      </c>
    </row>
    <row r="295" spans="5:14" ht="16">
      <c r="E295" s="248">
        <v>45078</v>
      </c>
      <c r="F295" s="323">
        <f t="shared" si="20"/>
        <v>45107</v>
      </c>
      <c r="G295" s="159">
        <f t="shared" si="21"/>
        <v>2024</v>
      </c>
      <c r="H295" s="499">
        <v>129.4</v>
      </c>
      <c r="I295" s="499">
        <v>376.4</v>
      </c>
      <c r="J295" s="257">
        <f>IF($E295&lt;DATE(2018,7,1),"-",INDEX('Annual Inflation'!$AM$53:$BA$53, MATCH(YEAR(EOMONTH($E295,6)), 'Annual Inflation'!$AM$6:$BA$6, 0))/100)</f>
        <v>7.3029999999999998E-2</v>
      </c>
      <c r="K295" s="257">
        <f>IF($E295&lt;DATE(2018,7,1),"-",INDEX('Annual Inflation'!$AM$50:$BA$50, MATCH(YEAR(EOMONTH($E295,6)), 'Annual Inflation'!$AM$6:$BA$6, 0))/100)</f>
        <v>9.691000000000001E-2</v>
      </c>
      <c r="L295" s="258">
        <f t="shared" si="22"/>
        <v>129.4</v>
      </c>
      <c r="M295" s="258">
        <f t="shared" si="23"/>
        <v>376.4</v>
      </c>
      <c r="N295" s="258">
        <f t="shared" si="24"/>
        <v>375.36279815397182</v>
      </c>
    </row>
    <row r="296" spans="5:14" ht="16">
      <c r="E296" s="248">
        <v>45108</v>
      </c>
      <c r="F296" s="323">
        <f t="shared" si="20"/>
        <v>45138</v>
      </c>
      <c r="G296" s="159">
        <f t="shared" si="21"/>
        <v>2024</v>
      </c>
      <c r="H296" s="558">
        <v>129</v>
      </c>
      <c r="I296" s="499">
        <v>374.2</v>
      </c>
      <c r="J296" s="257">
        <f>IF($E296&lt;DATE(2018,7,1),"-",INDEX('Annual Inflation'!$AM$53:$BA$53, MATCH(YEAR(EOMONTH($E296,6)), 'Annual Inflation'!$AM$6:$BA$6, 0))/100)</f>
        <v>2.5301927741606001E-2</v>
      </c>
      <c r="K296" s="257">
        <f>IF($E296&lt;DATE(2018,7,1),"-",INDEX('Annual Inflation'!$AM$50:$BA$50, MATCH(YEAR(EOMONTH($E296,6)), 'Annual Inflation'!$AM$6:$BA$6, 0))/100)</f>
        <v>3.5849815186325129E-2</v>
      </c>
      <c r="L296" s="258">
        <f t="shared" si="22"/>
        <v>129</v>
      </c>
      <c r="M296" s="258">
        <f t="shared" si="23"/>
        <v>374.2</v>
      </c>
      <c r="N296" s="258">
        <f t="shared" si="24"/>
        <v>374.20248038533509</v>
      </c>
    </row>
    <row r="297" spans="5:14" ht="16">
      <c r="E297" s="248">
        <v>45139</v>
      </c>
      <c r="F297" s="323">
        <f t="shared" si="20"/>
        <v>45169</v>
      </c>
      <c r="G297" s="159">
        <f t="shared" si="21"/>
        <v>2024</v>
      </c>
      <c r="H297" s="499">
        <v>129.4</v>
      </c>
      <c r="I297" s="499">
        <v>376.6</v>
      </c>
      <c r="J297" s="257">
        <f>IF($E297&lt;DATE(2018,7,1),"-",INDEX('Annual Inflation'!$AM$53:$BA$53, MATCH(YEAR(EOMONTH($E297,6)), 'Annual Inflation'!$AM$6:$BA$6, 0))/100)</f>
        <v>2.5301927741606001E-2</v>
      </c>
      <c r="K297" s="257">
        <f>IF($E297&lt;DATE(2018,7,1),"-",INDEX('Annual Inflation'!$AM$50:$BA$50, MATCH(YEAR(EOMONTH($E297,6)), 'Annual Inflation'!$AM$6:$BA$6, 0))/100)</f>
        <v>3.5849815186325129E-2</v>
      </c>
      <c r="L297" s="258">
        <f t="shared" si="22"/>
        <v>129.4</v>
      </c>
      <c r="M297" s="258">
        <f t="shared" si="23"/>
        <v>376.6</v>
      </c>
      <c r="N297" s="258">
        <f t="shared" si="24"/>
        <v>375.36279815397182</v>
      </c>
    </row>
    <row r="298" spans="5:14" ht="16">
      <c r="E298" s="248">
        <v>45170</v>
      </c>
      <c r="F298" s="323">
        <f t="shared" si="20"/>
        <v>45199</v>
      </c>
      <c r="G298" s="159">
        <f t="shared" si="21"/>
        <v>2024</v>
      </c>
      <c r="H298" s="499">
        <v>130.1</v>
      </c>
      <c r="I298" s="499">
        <v>378.4</v>
      </c>
      <c r="J298" s="257">
        <f>IF($E298&lt;DATE(2018,7,1),"-",INDEX('Annual Inflation'!$AM$53:$BA$53, MATCH(YEAR(EOMONTH($E298,6)), 'Annual Inflation'!$AM$6:$BA$6, 0))/100)</f>
        <v>2.5301927741606001E-2</v>
      </c>
      <c r="K298" s="257">
        <f>IF($E298&lt;DATE(2018,7,1),"-",INDEX('Annual Inflation'!$AM$50:$BA$50, MATCH(YEAR(EOMONTH($E298,6)), 'Annual Inflation'!$AM$6:$BA$6, 0))/100)</f>
        <v>3.5849815186325129E-2</v>
      </c>
      <c r="L298" s="258">
        <f t="shared" si="22"/>
        <v>130.1</v>
      </c>
      <c r="M298" s="258">
        <f t="shared" si="23"/>
        <v>378.4</v>
      </c>
      <c r="N298" s="258">
        <f t="shared" si="24"/>
        <v>377.39335424908597</v>
      </c>
    </row>
    <row r="299" spans="5:14" ht="16">
      <c r="E299" s="248">
        <v>45200</v>
      </c>
      <c r="F299" s="323">
        <f t="shared" si="20"/>
        <v>45230</v>
      </c>
      <c r="G299" s="159">
        <f t="shared" si="21"/>
        <v>2024</v>
      </c>
      <c r="H299" s="499">
        <v>130.19999999999999</v>
      </c>
      <c r="I299" s="499">
        <v>377.8</v>
      </c>
      <c r="J299" s="257">
        <f>IF($E299&lt;DATE(2018,7,1),"-",INDEX('Annual Inflation'!$AM$53:$BA$53, MATCH(YEAR(EOMONTH($E299,6)), 'Annual Inflation'!$AM$6:$BA$6, 0))/100)</f>
        <v>2.5301927741606001E-2</v>
      </c>
      <c r="K299" s="257">
        <f>IF($E299&lt;DATE(2018,7,1),"-",INDEX('Annual Inflation'!$AM$50:$BA$50, MATCH(YEAR(EOMONTH($E299,6)), 'Annual Inflation'!$AM$6:$BA$6, 0))/100)</f>
        <v>3.5849815186325129E-2</v>
      </c>
      <c r="L299" s="258">
        <f t="shared" si="22"/>
        <v>130.19999999999999</v>
      </c>
      <c r="M299" s="258">
        <f t="shared" si="23"/>
        <v>377.8</v>
      </c>
      <c r="N299" s="258">
        <f t="shared" si="24"/>
        <v>377.68343369124511</v>
      </c>
    </row>
    <row r="300" spans="5:14" ht="16">
      <c r="E300" s="248">
        <v>45231</v>
      </c>
      <c r="F300" s="323">
        <f t="shared" si="20"/>
        <v>45260</v>
      </c>
      <c r="G300" s="159">
        <f t="shared" si="21"/>
        <v>2024</v>
      </c>
      <c r="H300" s="558">
        <v>130</v>
      </c>
      <c r="I300" s="499">
        <v>377.3</v>
      </c>
      <c r="J300" s="257">
        <f>IF($E300&lt;DATE(2018,7,1),"-",INDEX('Annual Inflation'!$AM$53:$BA$53, MATCH(YEAR(EOMONTH($E300,6)), 'Annual Inflation'!$AM$6:$BA$6, 0))/100)</f>
        <v>2.5301927741606001E-2</v>
      </c>
      <c r="K300" s="257">
        <f>IF($E300&lt;DATE(2018,7,1),"-",INDEX('Annual Inflation'!$AM$50:$BA$50, MATCH(YEAR(EOMONTH($E300,6)), 'Annual Inflation'!$AM$6:$BA$6, 0))/100)</f>
        <v>3.5849815186325129E-2</v>
      </c>
      <c r="L300" s="258">
        <f t="shared" si="22"/>
        <v>130</v>
      </c>
      <c r="M300" s="258">
        <f t="shared" si="23"/>
        <v>377.3</v>
      </c>
      <c r="N300" s="258">
        <f t="shared" si="24"/>
        <v>377.10327480692678</v>
      </c>
    </row>
    <row r="301" spans="5:14" ht="16">
      <c r="E301" s="248">
        <v>45261</v>
      </c>
      <c r="F301" s="323">
        <f t="shared" si="20"/>
        <v>45291</v>
      </c>
      <c r="G301" s="159">
        <f t="shared" si="21"/>
        <v>2024</v>
      </c>
      <c r="H301" s="499">
        <v>130.5</v>
      </c>
      <c r="I301" s="558">
        <v>379</v>
      </c>
      <c r="J301" s="257">
        <f>IF($E301&lt;DATE(2018,7,1),"-",INDEX('Annual Inflation'!$AM$53:$BA$53, MATCH(YEAR(EOMONTH($E301,6)), 'Annual Inflation'!$AM$6:$BA$6, 0))/100)</f>
        <v>2.5301927741606001E-2</v>
      </c>
      <c r="K301" s="257">
        <f>IF($E301&lt;DATE(2018,7,1),"-",INDEX('Annual Inflation'!$AM$50:$BA$50, MATCH(YEAR(EOMONTH($E301,6)), 'Annual Inflation'!$AM$6:$BA$6, 0))/100)</f>
        <v>3.5849815186325129E-2</v>
      </c>
      <c r="L301" s="258">
        <f t="shared" si="22"/>
        <v>130.5</v>
      </c>
      <c r="M301" s="258">
        <f t="shared" si="23"/>
        <v>379</v>
      </c>
      <c r="N301" s="258">
        <f t="shared" si="24"/>
        <v>378.55367201772265</v>
      </c>
    </row>
    <row r="302" spans="5:14" ht="16">
      <c r="E302" s="248">
        <v>45292</v>
      </c>
      <c r="F302" s="323">
        <f t="shared" si="20"/>
        <v>45322</v>
      </c>
      <c r="G302" s="159">
        <f t="shared" si="21"/>
        <v>2024</v>
      </c>
      <c r="H302" s="558">
        <v>130</v>
      </c>
      <c r="I302" s="558">
        <v>378</v>
      </c>
      <c r="J302" s="257">
        <f>IF($E302&lt;DATE(2018,7,1),"-",INDEX('Annual Inflation'!$AM$53:$BA$53, MATCH(YEAR(EOMONTH($E302,6)), 'Annual Inflation'!$AM$6:$BA$6, 0))/100)</f>
        <v>2.5301927741606001E-2</v>
      </c>
      <c r="K302" s="257">
        <f>IF($E302&lt;DATE(2018,7,1),"-",INDEX('Annual Inflation'!$AM$50:$BA$50, MATCH(YEAR(EOMONTH($E302,6)), 'Annual Inflation'!$AM$6:$BA$6, 0))/100)</f>
        <v>3.5849815186325129E-2</v>
      </c>
      <c r="L302" s="258">
        <f t="shared" si="22"/>
        <v>130</v>
      </c>
      <c r="M302" s="258">
        <f t="shared" si="23"/>
        <v>378</v>
      </c>
      <c r="N302" s="258">
        <f t="shared" si="24"/>
        <v>377.10327480692678</v>
      </c>
    </row>
    <row r="303" spans="5:14" ht="16">
      <c r="E303" s="248">
        <v>45323</v>
      </c>
      <c r="F303" s="323">
        <f t="shared" si="20"/>
        <v>45351</v>
      </c>
      <c r="G303" s="159">
        <f t="shared" si="21"/>
        <v>2024</v>
      </c>
      <c r="H303" s="499">
        <v>130.80000000000001</v>
      </c>
      <c r="I303" s="558">
        <v>381</v>
      </c>
      <c r="J303" s="257">
        <f>IF($E303&lt;DATE(2018,7,1),"-",INDEX('Annual Inflation'!$AM$53:$BA$53, MATCH(YEAR(EOMONTH($E303,6)), 'Annual Inflation'!$AM$6:$BA$6, 0))/100)</f>
        <v>2.5301927741606001E-2</v>
      </c>
      <c r="K303" s="257">
        <f>IF($E303&lt;DATE(2018,7,1),"-",INDEX('Annual Inflation'!$AM$50:$BA$50, MATCH(YEAR(EOMONTH($E303,6)), 'Annual Inflation'!$AM$6:$BA$6, 0))/100)</f>
        <v>3.5849815186325129E-2</v>
      </c>
      <c r="L303" s="258">
        <f t="shared" si="22"/>
        <v>130.80000000000001</v>
      </c>
      <c r="M303" s="258">
        <f t="shared" si="23"/>
        <v>381</v>
      </c>
      <c r="N303" s="258">
        <f t="shared" si="24"/>
        <v>379.42391034420018</v>
      </c>
    </row>
    <row r="304" spans="5:14" ht="16">
      <c r="E304" s="248">
        <v>45352</v>
      </c>
      <c r="F304" s="323">
        <f t="shared" si="20"/>
        <v>45382</v>
      </c>
      <c r="G304" s="159">
        <f t="shared" si="21"/>
        <v>2024</v>
      </c>
      <c r="H304" s="499">
        <v>131.6</v>
      </c>
      <c r="I304" s="558">
        <v>383</v>
      </c>
      <c r="J304" s="257">
        <f>IF($E304&lt;DATE(2018,7,1),"-",INDEX('Annual Inflation'!$AM$53:$BA$53, MATCH(YEAR(EOMONTH($E304,6)), 'Annual Inflation'!$AM$6:$BA$6, 0))/100)</f>
        <v>2.5301927741606001E-2</v>
      </c>
      <c r="K304" s="257">
        <f>IF($E304&lt;DATE(2018,7,1),"-",INDEX('Annual Inflation'!$AM$50:$BA$50, MATCH(YEAR(EOMONTH($E304,6)), 'Annual Inflation'!$AM$6:$BA$6, 0))/100)</f>
        <v>3.5849815186325129E-2</v>
      </c>
      <c r="L304" s="258">
        <f t="shared" si="22"/>
        <v>131.6</v>
      </c>
      <c r="M304" s="258">
        <f t="shared" si="23"/>
        <v>383</v>
      </c>
      <c r="N304" s="258">
        <f t="shared" si="24"/>
        <v>381.74454588147353</v>
      </c>
    </row>
    <row r="305" spans="5:14" ht="16">
      <c r="E305" s="248">
        <v>45383</v>
      </c>
      <c r="F305" s="323">
        <f t="shared" si="20"/>
        <v>45412</v>
      </c>
      <c r="G305" s="159">
        <f t="shared" si="21"/>
        <v>2025</v>
      </c>
      <c r="H305" s="499">
        <v>132.19999999999999</v>
      </c>
      <c r="I305" s="558">
        <v>385</v>
      </c>
      <c r="J305" s="257">
        <f>IF($E305&lt;DATE(2018,7,1),"-",INDEX('Annual Inflation'!$AM$53:$BA$53, MATCH(YEAR(EOMONTH($E305,6)), 'Annual Inflation'!$AM$6:$BA$6, 0))/100)</f>
        <v>2.5301927741606001E-2</v>
      </c>
      <c r="K305" s="257">
        <f>IF($E305&lt;DATE(2018,7,1),"-",INDEX('Annual Inflation'!$AM$50:$BA$50, MATCH(YEAR(EOMONTH($E305,6)), 'Annual Inflation'!$AM$6:$BA$6, 0))/100)</f>
        <v>3.5849815186325129E-2</v>
      </c>
      <c r="L305" s="258">
        <f t="shared" si="22"/>
        <v>132.19999999999999</v>
      </c>
      <c r="M305" s="258">
        <f t="shared" si="23"/>
        <v>385</v>
      </c>
      <c r="N305" s="258">
        <f t="shared" si="24"/>
        <v>383.48502253442854</v>
      </c>
    </row>
    <row r="306" spans="5:14" ht="16">
      <c r="E306" s="248">
        <v>45413</v>
      </c>
      <c r="F306" s="323">
        <f t="shared" si="20"/>
        <v>45443</v>
      </c>
      <c r="G306" s="159">
        <f t="shared" si="21"/>
        <v>2025</v>
      </c>
      <c r="H306" s="499">
        <v>132.69999999999999</v>
      </c>
      <c r="I306" s="499">
        <v>386.4</v>
      </c>
      <c r="J306" s="257">
        <f>IF($E306&lt;DATE(2018,7,1),"-",INDEX('Annual Inflation'!$AM$53:$BA$53, MATCH(YEAR(EOMONTH($E306,6)), 'Annual Inflation'!$AM$6:$BA$6, 0))/100)</f>
        <v>2.5301927741606001E-2</v>
      </c>
      <c r="K306" s="257">
        <f>IF($E306&lt;DATE(2018,7,1),"-",INDEX('Annual Inflation'!$AM$50:$BA$50, MATCH(YEAR(EOMONTH($E306,6)), 'Annual Inflation'!$AM$6:$BA$6, 0))/100)</f>
        <v>3.5849815186325129E-2</v>
      </c>
      <c r="L306" s="258">
        <f t="shared" si="22"/>
        <v>132.69999999999999</v>
      </c>
      <c r="M306" s="258">
        <f t="shared" si="23"/>
        <v>386.4</v>
      </c>
      <c r="N306" s="258">
        <f t="shared" si="24"/>
        <v>384.93541974522441</v>
      </c>
    </row>
    <row r="307" spans="5:14" ht="16">
      <c r="E307" s="248">
        <v>45444</v>
      </c>
      <c r="F307" s="323">
        <f t="shared" si="20"/>
        <v>45473</v>
      </c>
      <c r="G307" s="159">
        <f t="shared" si="21"/>
        <v>2025</v>
      </c>
      <c r="H307" s="558">
        <v>133</v>
      </c>
      <c r="I307" s="499">
        <v>387.3</v>
      </c>
      <c r="J307" s="257">
        <f>IF($E307&lt;DATE(2018,7,1),"-",INDEX('Annual Inflation'!$AM$53:$BA$53, MATCH(YEAR(EOMONTH($E307,6)), 'Annual Inflation'!$AM$6:$BA$6, 0))/100)</f>
        <v>2.5301927741606001E-2</v>
      </c>
      <c r="K307" s="257">
        <f>IF($E307&lt;DATE(2018,7,1),"-",INDEX('Annual Inflation'!$AM$50:$BA$50, MATCH(YEAR(EOMONTH($E307,6)), 'Annual Inflation'!$AM$6:$BA$6, 0))/100)</f>
        <v>3.5849815186325129E-2</v>
      </c>
      <c r="L307" s="258">
        <f t="shared" si="22"/>
        <v>133</v>
      </c>
      <c r="M307" s="258">
        <f t="shared" si="23"/>
        <v>387.3</v>
      </c>
      <c r="N307" s="258">
        <f t="shared" si="24"/>
        <v>385.805658071702</v>
      </c>
    </row>
    <row r="308" spans="5:14" ht="16">
      <c r="E308" s="248">
        <v>45474</v>
      </c>
      <c r="F308" s="323">
        <f t="shared" si="20"/>
        <v>45504</v>
      </c>
      <c r="G308" s="159">
        <f t="shared" si="21"/>
        <v>2025</v>
      </c>
      <c r="H308" s="499">
        <v>132.9</v>
      </c>
      <c r="I308" s="499">
        <v>387.5</v>
      </c>
      <c r="J308" s="257">
        <f>IF($E308&lt;DATE(2018,7,1),"-",INDEX('Annual Inflation'!$AM$53:$BA$53, MATCH(YEAR(EOMONTH($E308,6)), 'Annual Inflation'!$AM$6:$BA$6, 0))/100)</f>
        <v>3.4527688414550228E-2</v>
      </c>
      <c r="K308" s="257">
        <f>IF($E308&lt;DATE(2018,7,1),"-",INDEX('Annual Inflation'!$AM$50:$BA$50, MATCH(YEAR(EOMONTH($E308,6)), 'Annual Inflation'!$AM$6:$BA$6, 0))/100)</f>
        <v>4.3267137962244462E-2</v>
      </c>
      <c r="L308" s="258">
        <f t="shared" si="22"/>
        <v>132.9</v>
      </c>
      <c r="M308" s="258">
        <f t="shared" si="23"/>
        <v>387.5</v>
      </c>
      <c r="N308" s="258">
        <f t="shared" si="24"/>
        <v>385.51557862954286</v>
      </c>
    </row>
    <row r="309" spans="5:14" ht="16">
      <c r="E309" s="248">
        <v>45505</v>
      </c>
      <c r="F309" s="323">
        <f t="shared" si="20"/>
        <v>45535</v>
      </c>
      <c r="G309" s="159">
        <f t="shared" si="21"/>
        <v>2025</v>
      </c>
      <c r="H309" s="499">
        <v>133.4</v>
      </c>
      <c r="I309" s="499">
        <v>389.9</v>
      </c>
      <c r="J309" s="257">
        <f>IF($E309&lt;DATE(2018,7,1),"-",INDEX('Annual Inflation'!$AM$53:$BA$53, MATCH(YEAR(EOMONTH($E309,6)), 'Annual Inflation'!$AM$6:$BA$6, 0))/100)</f>
        <v>3.4527688414550228E-2</v>
      </c>
      <c r="K309" s="257">
        <f>IF($E309&lt;DATE(2018,7,1),"-",INDEX('Annual Inflation'!$AM$50:$BA$50, MATCH(YEAR(EOMONTH($E309,6)), 'Annual Inflation'!$AM$6:$BA$6, 0))/100)</f>
        <v>4.3267137962244462E-2</v>
      </c>
      <c r="L309" s="258">
        <f t="shared" si="22"/>
        <v>133.4</v>
      </c>
      <c r="M309" s="258">
        <f t="shared" si="23"/>
        <v>389.9</v>
      </c>
      <c r="N309" s="258">
        <f t="shared" si="24"/>
        <v>386.96597584033873</v>
      </c>
    </row>
    <row r="310" spans="5:14" ht="16">
      <c r="E310" s="248">
        <v>45536</v>
      </c>
      <c r="F310" s="323">
        <f t="shared" si="20"/>
        <v>45565</v>
      </c>
      <c r="G310" s="159">
        <f t="shared" si="21"/>
        <v>2025</v>
      </c>
      <c r="H310" s="499">
        <v>133.5</v>
      </c>
      <c r="I310" s="499">
        <v>388.6</v>
      </c>
      <c r="J310" s="257">
        <f>IF($E310&lt;DATE(2018,7,1),"-",INDEX('Annual Inflation'!$AM$53:$BA$53, MATCH(YEAR(EOMONTH($E310,6)), 'Annual Inflation'!$AM$6:$BA$6, 0))/100)</f>
        <v>3.4527688414550228E-2</v>
      </c>
      <c r="K310" s="257">
        <f>IF($E310&lt;DATE(2018,7,1),"-",INDEX('Annual Inflation'!$AM$50:$BA$50, MATCH(YEAR(EOMONTH($E310,6)), 'Annual Inflation'!$AM$6:$BA$6, 0))/100)</f>
        <v>4.3267137962244462E-2</v>
      </c>
      <c r="L310" s="258">
        <f t="shared" si="22"/>
        <v>133.5</v>
      </c>
      <c r="M310" s="258">
        <f t="shared" si="23"/>
        <v>388.6</v>
      </c>
      <c r="N310" s="258">
        <f t="shared" si="24"/>
        <v>387.25605528249787</v>
      </c>
    </row>
    <row r="311" spans="5:14" ht="16">
      <c r="E311" s="248">
        <v>45566</v>
      </c>
      <c r="F311" s="323">
        <f t="shared" si="20"/>
        <v>45596</v>
      </c>
      <c r="G311" s="159">
        <f t="shared" si="21"/>
        <v>2025</v>
      </c>
      <c r="H311" s="499">
        <v>134.30000000000001</v>
      </c>
      <c r="I311" s="499">
        <v>390.7</v>
      </c>
      <c r="J311" s="257">
        <f>IF($E311&lt;DATE(2018,7,1),"-",INDEX('Annual Inflation'!$AM$53:$BA$53, MATCH(YEAR(EOMONTH($E311,6)), 'Annual Inflation'!$AM$6:$BA$6, 0))/100)</f>
        <v>3.4527688414550228E-2</v>
      </c>
      <c r="K311" s="257">
        <f>IF($E311&lt;DATE(2018,7,1),"-",INDEX('Annual Inflation'!$AM$50:$BA$50, MATCH(YEAR(EOMONTH($E311,6)), 'Annual Inflation'!$AM$6:$BA$6, 0))/100)</f>
        <v>4.3267137962244462E-2</v>
      </c>
      <c r="L311" s="258">
        <f t="shared" si="22"/>
        <v>134.30000000000001</v>
      </c>
      <c r="M311" s="258">
        <f t="shared" si="23"/>
        <v>390.7</v>
      </c>
      <c r="N311" s="258">
        <f t="shared" si="24"/>
        <v>389.57669081977133</v>
      </c>
    </row>
    <row r="312" spans="5:14" ht="16">
      <c r="E312" s="248">
        <v>45597</v>
      </c>
      <c r="F312" s="323">
        <f t="shared" si="20"/>
        <v>45626</v>
      </c>
      <c r="G312" s="159">
        <f t="shared" si="21"/>
        <v>2025</v>
      </c>
      <c r="H312" s="499">
        <v>134.6</v>
      </c>
      <c r="I312" s="499">
        <v>390.9</v>
      </c>
      <c r="J312" s="257">
        <f>IF($E312&lt;DATE(2018,7,1),"-",INDEX('Annual Inflation'!$AM$53:$BA$53, MATCH(YEAR(EOMONTH($E312,6)), 'Annual Inflation'!$AM$6:$BA$6, 0))/100)</f>
        <v>3.4527688414550228E-2</v>
      </c>
      <c r="K312" s="257">
        <f>IF($E312&lt;DATE(2018,7,1),"-",INDEX('Annual Inflation'!$AM$50:$BA$50, MATCH(YEAR(EOMONTH($E312,6)), 'Annual Inflation'!$AM$6:$BA$6, 0))/100)</f>
        <v>4.3267137962244462E-2</v>
      </c>
      <c r="L312" s="258">
        <f t="shared" si="22"/>
        <v>134.6</v>
      </c>
      <c r="M312" s="258">
        <f t="shared" si="23"/>
        <v>390.9</v>
      </c>
      <c r="N312" s="258">
        <f t="shared" si="24"/>
        <v>390.44692914624881</v>
      </c>
    </row>
    <row r="313" spans="5:14" ht="16">
      <c r="E313" s="248">
        <v>45627</v>
      </c>
      <c r="F313" s="323">
        <f t="shared" si="20"/>
        <v>45657</v>
      </c>
      <c r="G313" s="159">
        <f t="shared" si="21"/>
        <v>2025</v>
      </c>
      <c r="H313" s="499">
        <v>135.1</v>
      </c>
      <c r="I313" s="499">
        <v>392.1</v>
      </c>
      <c r="J313" s="257">
        <f>IF($E313&lt;DATE(2018,7,1),"-",INDEX('Annual Inflation'!$AM$53:$BA$53, MATCH(YEAR(EOMONTH($E313,6)), 'Annual Inflation'!$AM$6:$BA$6, 0))/100)</f>
        <v>3.4527688414550228E-2</v>
      </c>
      <c r="K313" s="257">
        <f>IF($E313&lt;DATE(2018,7,1),"-",INDEX('Annual Inflation'!$AM$50:$BA$50, MATCH(YEAR(EOMONTH($E313,6)), 'Annual Inflation'!$AM$6:$BA$6, 0))/100)</f>
        <v>4.3267137962244462E-2</v>
      </c>
      <c r="L313" s="258">
        <f t="shared" si="22"/>
        <v>135.1</v>
      </c>
      <c r="M313" s="258">
        <f t="shared" si="23"/>
        <v>392.1</v>
      </c>
      <c r="N313" s="258">
        <f t="shared" si="24"/>
        <v>391.89732635704468</v>
      </c>
    </row>
    <row r="314" spans="5:14" ht="16">
      <c r="E314" s="248">
        <v>45658</v>
      </c>
      <c r="F314" s="323">
        <f t="shared" si="20"/>
        <v>45688</v>
      </c>
      <c r="G314" s="159">
        <f t="shared" si="21"/>
        <v>2025</v>
      </c>
      <c r="H314" s="499">
        <v>135.1</v>
      </c>
      <c r="I314" s="499">
        <v>391.7</v>
      </c>
      <c r="J314" s="257">
        <f>IF($E314&lt;DATE(2018,7,1),"-",INDEX('Annual Inflation'!$AM$53:$BA$53, MATCH(YEAR(EOMONTH($E314,6)), 'Annual Inflation'!$AM$6:$BA$6, 0))/100)</f>
        <v>3.4527688414550228E-2</v>
      </c>
      <c r="K314" s="257">
        <f>IF($E314&lt;DATE(2018,7,1),"-",INDEX('Annual Inflation'!$AM$50:$BA$50, MATCH(YEAR(EOMONTH($E314,6)), 'Annual Inflation'!$AM$6:$BA$6, 0))/100)</f>
        <v>4.3267137962244462E-2</v>
      </c>
      <c r="L314" s="258">
        <f t="shared" si="22"/>
        <v>135.1</v>
      </c>
      <c r="M314" s="258">
        <f t="shared" si="23"/>
        <v>391.7</v>
      </c>
      <c r="N314" s="258">
        <f t="shared" si="24"/>
        <v>391.89732635704468</v>
      </c>
    </row>
    <row r="315" spans="5:14" ht="16">
      <c r="E315" s="248">
        <v>45689</v>
      </c>
      <c r="F315" s="323">
        <f t="shared" si="20"/>
        <v>45716</v>
      </c>
      <c r="G315" s="159">
        <f t="shared" si="21"/>
        <v>2025</v>
      </c>
      <c r="H315" s="499">
        <v>135.6</v>
      </c>
      <c r="I315" s="558">
        <v>394</v>
      </c>
      <c r="J315" s="257">
        <f>IF($E315&lt;DATE(2018,7,1),"-",INDEX('Annual Inflation'!$AM$53:$BA$53, MATCH(YEAR(EOMONTH($E315,6)), 'Annual Inflation'!$AM$6:$BA$6, 0))/100)</f>
        <v>3.4527688414550228E-2</v>
      </c>
      <c r="K315" s="257">
        <f>IF($E315&lt;DATE(2018,7,1),"-",INDEX('Annual Inflation'!$AM$50:$BA$50, MATCH(YEAR(EOMONTH($E315,6)), 'Annual Inflation'!$AM$6:$BA$6, 0))/100)</f>
        <v>4.3267137962244462E-2</v>
      </c>
      <c r="L315" s="258">
        <f t="shared" si="22"/>
        <v>135.6</v>
      </c>
      <c r="M315" s="258">
        <f t="shared" si="23"/>
        <v>394</v>
      </c>
      <c r="N315" s="258">
        <f t="shared" si="24"/>
        <v>393.3477235678406</v>
      </c>
    </row>
    <row r="316" spans="5:14" ht="16">
      <c r="E316" s="248">
        <v>45717</v>
      </c>
      <c r="F316" s="323">
        <f t="shared" si="20"/>
        <v>45747</v>
      </c>
      <c r="G316" s="159">
        <f t="shared" si="21"/>
        <v>2025</v>
      </c>
      <c r="H316" s="499">
        <v>136.1</v>
      </c>
      <c r="I316" s="499">
        <v>395.3</v>
      </c>
      <c r="J316" s="257">
        <f>IF($E316&lt;DATE(2018,7,1),"-",INDEX('Annual Inflation'!$AM$53:$BA$53, MATCH(YEAR(EOMONTH($E316,6)), 'Annual Inflation'!$AM$6:$BA$6, 0))/100)</f>
        <v>3.4527688414550228E-2</v>
      </c>
      <c r="K316" s="257">
        <f>IF($E316&lt;DATE(2018,7,1),"-",INDEX('Annual Inflation'!$AM$50:$BA$50, MATCH(YEAR(EOMONTH($E316,6)), 'Annual Inflation'!$AM$6:$BA$6, 0))/100)</f>
        <v>4.3267137962244462E-2</v>
      </c>
      <c r="L316" s="258">
        <f t="shared" si="22"/>
        <v>136.1</v>
      </c>
      <c r="M316" s="258">
        <f t="shared" si="23"/>
        <v>395.3</v>
      </c>
      <c r="N316" s="258">
        <f t="shared" si="24"/>
        <v>394.79812077863647</v>
      </c>
    </row>
    <row r="317" spans="5:14" ht="16">
      <c r="E317" s="248">
        <v>45748</v>
      </c>
      <c r="F317" s="323">
        <f t="shared" si="20"/>
        <v>45777</v>
      </c>
      <c r="G317" s="159">
        <f t="shared" si="21"/>
        <v>2026</v>
      </c>
      <c r="H317" s="499">
        <v>137.69999999999999</v>
      </c>
      <c r="I317" s="499">
        <v>402.2</v>
      </c>
      <c r="J317" s="257">
        <f>IF($E317&lt;DATE(2018,7,1),"-",INDEX('Annual Inflation'!$AM$53:$BA$53, MATCH(YEAR(EOMONTH($E317,6)), 'Annual Inflation'!$AM$6:$BA$6, 0))/100)</f>
        <v>3.4527688414550228E-2</v>
      </c>
      <c r="K317" s="257">
        <f>IF($E317&lt;DATE(2018,7,1),"-",INDEX('Annual Inflation'!$AM$50:$BA$50, MATCH(YEAR(EOMONTH($E317,6)), 'Annual Inflation'!$AM$6:$BA$6, 0))/100)</f>
        <v>4.3267137962244462E-2</v>
      </c>
      <c r="L317" s="258">
        <f t="shared" si="22"/>
        <v>137.69999999999999</v>
      </c>
      <c r="M317" s="258">
        <f t="shared" si="23"/>
        <v>402.2</v>
      </c>
      <c r="N317" s="258">
        <f t="shared" si="24"/>
        <v>399.43939185318322</v>
      </c>
    </row>
    <row r="318" spans="5:14" ht="16">
      <c r="E318" s="248">
        <v>45778</v>
      </c>
      <c r="F318" s="323">
        <f t="shared" si="20"/>
        <v>45808</v>
      </c>
      <c r="G318" s="159">
        <f t="shared" si="21"/>
        <v>2026</v>
      </c>
      <c r="H318" s="558">
        <v>138</v>
      </c>
      <c r="I318" s="499">
        <v>402.9</v>
      </c>
      <c r="J318" s="257">
        <f>IF($E318&lt;DATE(2018,7,1),"-",INDEX('Annual Inflation'!$AM$53:$BA$53, MATCH(YEAR(EOMONTH($E318,6)), 'Annual Inflation'!$AM$6:$BA$6, 0))/100)</f>
        <v>3.4527688414550228E-2</v>
      </c>
      <c r="K318" s="257">
        <f>IF($E318&lt;DATE(2018,7,1),"-",INDEX('Annual Inflation'!$AM$50:$BA$50, MATCH(YEAR(EOMONTH($E318,6)), 'Annual Inflation'!$AM$6:$BA$6, 0))/100)</f>
        <v>4.3267137962244462E-2</v>
      </c>
      <c r="L318" s="258">
        <f t="shared" si="22"/>
        <v>138</v>
      </c>
      <c r="M318" s="258">
        <f t="shared" si="23"/>
        <v>402.9</v>
      </c>
      <c r="N318" s="258">
        <f t="shared" si="24"/>
        <v>400.30963017966081</v>
      </c>
    </row>
    <row r="319" spans="5:14" ht="16">
      <c r="E319" s="248">
        <v>45809</v>
      </c>
      <c r="F319" s="323">
        <f t="shared" si="20"/>
        <v>45838</v>
      </c>
      <c r="G319" s="159">
        <f t="shared" si="21"/>
        <v>2026</v>
      </c>
      <c r="H319" s="499">
        <v>138.4</v>
      </c>
      <c r="I319" s="499">
        <v>404.5</v>
      </c>
      <c r="J319" s="257">
        <f>IF($E319&lt;DATE(2018,7,1),"-",INDEX('Annual Inflation'!$AM$53:$BA$53, MATCH(YEAR(EOMONTH($E319,6)), 'Annual Inflation'!$AM$6:$BA$6, 0))/100)</f>
        <v>3.4527688414550228E-2</v>
      </c>
      <c r="K319" s="257">
        <f>IF($E319&lt;DATE(2018,7,1),"-",INDEX('Annual Inflation'!$AM$50:$BA$50, MATCH(YEAR(EOMONTH($E319,6)), 'Annual Inflation'!$AM$6:$BA$6, 0))/100)</f>
        <v>4.3267137962244462E-2</v>
      </c>
      <c r="L319" s="258">
        <f t="shared" si="22"/>
        <v>138.4</v>
      </c>
      <c r="M319" s="258">
        <f t="shared" si="23"/>
        <v>404.5</v>
      </c>
      <c r="N319" s="258">
        <f t="shared" si="24"/>
        <v>401.46994794829754</v>
      </c>
    </row>
    <row r="320" spans="5:14" ht="16">
      <c r="E320" s="248">
        <v>45839</v>
      </c>
      <c r="F320" s="323">
        <f t="shared" si="20"/>
        <v>45869</v>
      </c>
      <c r="G320" s="159">
        <f t="shared" si="21"/>
        <v>2026</v>
      </c>
      <c r="H320" s="499"/>
      <c r="I320" s="499"/>
      <c r="J320" s="257">
        <f>IF($E320&lt;DATE(2018,7,1),"-",INDEX('Annual Inflation'!$AM$53:$BA$53, MATCH(YEAR(EOMONTH($E320,6)), 'Annual Inflation'!$AM$6:$BA$6, 0))/100)</f>
        <v>2.4801225431334784E-2</v>
      </c>
      <c r="K320" s="257">
        <f>IF($E320&lt;DATE(2018,7,1),"-",INDEX('Annual Inflation'!$AM$50:$BA$50, MATCH(YEAR(EOMONTH($E320,6)), 'Annual Inflation'!$AM$6:$BA$6, 0))/100)</f>
        <v>3.711413121659124E-2</v>
      </c>
      <c r="L320" s="258">
        <f t="shared" si="22"/>
        <v>138.68283991553739</v>
      </c>
      <c r="M320" s="258">
        <f t="shared" si="23"/>
        <v>405.73026559350069</v>
      </c>
      <c r="N320" s="258">
        <f t="shared" si="24"/>
        <v>402.29040839749189</v>
      </c>
    </row>
    <row r="321" spans="5:14" ht="16">
      <c r="E321" s="248">
        <v>45870</v>
      </c>
      <c r="F321" s="323">
        <f t="shared" si="20"/>
        <v>45900</v>
      </c>
      <c r="G321" s="159">
        <f t="shared" si="21"/>
        <v>2026</v>
      </c>
      <c r="H321" s="499"/>
      <c r="I321" s="499"/>
      <c r="J321" s="257">
        <f>IF($E321&lt;DATE(2018,7,1),"-",INDEX('Annual Inflation'!$AM$53:$BA$53, MATCH(YEAR(EOMONTH($E321,6)), 'Annual Inflation'!$AM$6:$BA$6, 0))/100)</f>
        <v>2.4801225431334784E-2</v>
      </c>
      <c r="K321" s="257">
        <f>IF($E321&lt;DATE(2018,7,1),"-",INDEX('Annual Inflation'!$AM$50:$BA$50, MATCH(YEAR(EOMONTH($E321,6)), 'Annual Inflation'!$AM$6:$BA$6, 0))/100)</f>
        <v>3.711413121659124E-2</v>
      </c>
      <c r="L321" s="258">
        <f t="shared" si="22"/>
        <v>138.96625785432491</v>
      </c>
      <c r="M321" s="258">
        <f t="shared" si="23"/>
        <v>406.96427297545767</v>
      </c>
      <c r="N321" s="258">
        <f t="shared" si="24"/>
        <v>403.11254557330579</v>
      </c>
    </row>
    <row r="322" spans="5:14" ht="16">
      <c r="E322" s="248">
        <v>45901</v>
      </c>
      <c r="F322" s="323">
        <f t="shared" si="20"/>
        <v>45930</v>
      </c>
      <c r="G322" s="159">
        <f t="shared" si="21"/>
        <v>2026</v>
      </c>
      <c r="H322" s="499"/>
      <c r="I322" s="499"/>
      <c r="J322" s="257">
        <f>IF($E322&lt;DATE(2018,7,1),"-",INDEX('Annual Inflation'!$AM$53:$BA$53, MATCH(YEAR(EOMONTH($E322,6)), 'Annual Inflation'!$AM$6:$BA$6, 0))/100)</f>
        <v>2.4801225431334784E-2</v>
      </c>
      <c r="K322" s="257">
        <f>IF($E322&lt;DATE(2018,7,1),"-",INDEX('Annual Inflation'!$AM$50:$BA$50, MATCH(YEAR(EOMONTH($E322,6)), 'Annual Inflation'!$AM$6:$BA$6, 0))/100)</f>
        <v>3.711413121659124E-2</v>
      </c>
      <c r="L322" s="258">
        <f t="shared" si="22"/>
        <v>139.25025499763461</v>
      </c>
      <c r="M322" s="258">
        <f t="shared" si="23"/>
        <v>408.20203352632478</v>
      </c>
      <c r="N322" s="258">
        <f t="shared" si="24"/>
        <v>403.93636290236657</v>
      </c>
    </row>
    <row r="323" spans="5:14" ht="16">
      <c r="E323" s="248">
        <v>45931</v>
      </c>
      <c r="F323" s="323">
        <f t="shared" si="20"/>
        <v>45961</v>
      </c>
      <c r="G323" s="159">
        <f t="shared" si="21"/>
        <v>2026</v>
      </c>
      <c r="H323" s="499"/>
      <c r="I323" s="499"/>
      <c r="J323" s="257">
        <f>IF($E323&lt;DATE(2018,7,1),"-",INDEX('Annual Inflation'!$AM$53:$BA$53, MATCH(YEAR(EOMONTH($E323,6)), 'Annual Inflation'!$AM$6:$BA$6, 0))/100)</f>
        <v>2.4801225431334784E-2</v>
      </c>
      <c r="K323" s="257">
        <f>IF($E323&lt;DATE(2018,7,1),"-",INDEX('Annual Inflation'!$AM$50:$BA$50, MATCH(YEAR(EOMONTH($E323,6)), 'Annual Inflation'!$AM$6:$BA$6, 0))/100)</f>
        <v>3.711413121659124E-2</v>
      </c>
      <c r="L323" s="258">
        <f t="shared" si="22"/>
        <v>139.5348325291526</v>
      </c>
      <c r="M323" s="258">
        <f t="shared" si="23"/>
        <v>409.44355866116894</v>
      </c>
      <c r="N323" s="258">
        <f t="shared" si="24"/>
        <v>404.76186381830428</v>
      </c>
    </row>
    <row r="324" spans="5:14" ht="16">
      <c r="E324" s="248">
        <v>45962</v>
      </c>
      <c r="F324" s="323">
        <f t="shared" si="20"/>
        <v>45991</v>
      </c>
      <c r="G324" s="159">
        <f t="shared" si="21"/>
        <v>2026</v>
      </c>
      <c r="H324" s="499"/>
      <c r="I324" s="499"/>
      <c r="J324" s="257">
        <f>IF($E324&lt;DATE(2018,7,1),"-",INDEX('Annual Inflation'!$AM$53:$BA$53, MATCH(YEAR(EOMONTH($E324,6)), 'Annual Inflation'!$AM$6:$BA$6, 0))/100)</f>
        <v>2.4801225431334784E-2</v>
      </c>
      <c r="K324" s="257">
        <f>IF($E324&lt;DATE(2018,7,1),"-",INDEX('Annual Inflation'!$AM$50:$BA$50, MATCH(YEAR(EOMONTH($E324,6)), 'Annual Inflation'!$AM$6:$BA$6, 0))/100)</f>
        <v>3.711413121659124E-2</v>
      </c>
      <c r="L324" s="258">
        <f t="shared" si="22"/>
        <v>139.81999163498401</v>
      </c>
      <c r="M324" s="258">
        <f t="shared" si="23"/>
        <v>410.68885982977542</v>
      </c>
      <c r="N324" s="258">
        <f t="shared" si="24"/>
        <v>405.58905176176614</v>
      </c>
    </row>
    <row r="325" spans="5:14" ht="16">
      <c r="E325" s="248">
        <v>45992</v>
      </c>
      <c r="F325" s="323">
        <f t="shared" si="20"/>
        <v>46022</v>
      </c>
      <c r="G325" s="159">
        <f t="shared" si="21"/>
        <v>2026</v>
      </c>
      <c r="H325" s="499"/>
      <c r="I325" s="499"/>
      <c r="J325" s="257">
        <f>IF($E325&lt;DATE(2018,7,1),"-",INDEX('Annual Inflation'!$AM$53:$BA$53, MATCH(YEAR(EOMONTH($E325,6)), 'Annual Inflation'!$AM$6:$BA$6, 0))/100)</f>
        <v>2.4801225431334784E-2</v>
      </c>
      <c r="K325" s="257">
        <f>IF($E325&lt;DATE(2018,7,1),"-",INDEX('Annual Inflation'!$AM$50:$BA$50, MATCH(YEAR(EOMONTH($E325,6)), 'Annual Inflation'!$AM$6:$BA$6, 0))/100)</f>
        <v>3.711413121659124E-2</v>
      </c>
      <c r="L325" s="258">
        <f t="shared" si="22"/>
        <v>140.10573350365797</v>
      </c>
      <c r="M325" s="258">
        <f t="shared" si="23"/>
        <v>411.93794851675347</v>
      </c>
      <c r="N325" s="258">
        <f t="shared" si="24"/>
        <v>406.4179301804308</v>
      </c>
    </row>
    <row r="326" spans="5:14" ht="16">
      <c r="E326" s="248">
        <v>46023</v>
      </c>
      <c r="F326" s="323">
        <f t="shared" ref="F326:F352" si="27">EOMONTH(E326, 0)</f>
        <v>46053</v>
      </c>
      <c r="G326" s="159">
        <f t="shared" ref="G326:G352" si="28">IF(MONTH(E326)&gt;=4,YEAR(E326)+1,YEAR(E326))</f>
        <v>2026</v>
      </c>
      <c r="H326" s="499"/>
      <c r="I326" s="499"/>
      <c r="J326" s="257">
        <f>IF($E326&lt;DATE(2018,7,1),"-",INDEX('Annual Inflation'!$AM$53:$BA$53, MATCH(YEAR(EOMONTH($E326,6)), 'Annual Inflation'!$AM$6:$BA$6, 0))/100)</f>
        <v>2.4801225431334784E-2</v>
      </c>
      <c r="K326" s="257">
        <f>IF($E326&lt;DATE(2018,7,1),"-",INDEX('Annual Inflation'!$AM$50:$BA$50, MATCH(YEAR(EOMONTH($E326,6)), 'Annual Inflation'!$AM$6:$BA$6, 0))/100)</f>
        <v>3.711413121659124E-2</v>
      </c>
      <c r="L326" s="258">
        <f t="shared" ref="L326:L352" si="29">IF(ISBLANK(H326),L325*((1+J326)^(1/12)),H326)</f>
        <v>140.39205932613251</v>
      </c>
      <c r="M326" s="258">
        <f t="shared" ref="M326:M352" si="30">IF(ISBLANK(I326),M325*((1+K326)^(1/12)),I326)</f>
        <v>413.19083624164205</v>
      </c>
      <c r="N326" s="258">
        <f t="shared" ref="N326:N352" si="31">IF($E326 &lt; DATE(2023,4,1),  M326,  IF($E326 = DATE(2023,4,1), N325 * ((0.5*L326/L325) + (0.5*M326/M325)), N325*(L326/L325)))</f>
        <v>407.24850252902263</v>
      </c>
    </row>
    <row r="327" spans="5:14" ht="16">
      <c r="E327" s="248">
        <v>46054</v>
      </c>
      <c r="F327" s="323">
        <f t="shared" si="27"/>
        <v>46081</v>
      </c>
      <c r="G327" s="159">
        <f t="shared" si="28"/>
        <v>2026</v>
      </c>
      <c r="H327" s="499"/>
      <c r="I327" s="499"/>
      <c r="J327" s="257">
        <f>IF($E327&lt;DATE(2018,7,1),"-",INDEX('Annual Inflation'!$AM$53:$BA$53, MATCH(YEAR(EOMONTH($E327,6)), 'Annual Inflation'!$AM$6:$BA$6, 0))/100)</f>
        <v>2.4801225431334784E-2</v>
      </c>
      <c r="K327" s="257">
        <f>IF($E327&lt;DATE(2018,7,1),"-",INDEX('Annual Inflation'!$AM$50:$BA$50, MATCH(YEAR(EOMONTH($E327,6)), 'Annual Inflation'!$AM$6:$BA$6, 0))/100)</f>
        <v>3.711413121659124E-2</v>
      </c>
      <c r="L327" s="258">
        <f t="shared" si="29"/>
        <v>140.67897029579959</v>
      </c>
      <c r="M327" s="258">
        <f t="shared" si="30"/>
        <v>414.44753455901628</v>
      </c>
      <c r="N327" s="258">
        <f t="shared" si="31"/>
        <v>408.08077226932636</v>
      </c>
    </row>
    <row r="328" spans="5:14" ht="16">
      <c r="E328" s="248">
        <v>46082</v>
      </c>
      <c r="F328" s="323">
        <f t="shared" si="27"/>
        <v>46112</v>
      </c>
      <c r="G328" s="159">
        <f t="shared" si="28"/>
        <v>2026</v>
      </c>
      <c r="H328" s="499"/>
      <c r="I328" s="499"/>
      <c r="J328" s="257">
        <f>IF($E328&lt;DATE(2018,7,1),"-",INDEX('Annual Inflation'!$AM$53:$BA$53, MATCH(YEAR(EOMONTH($E328,6)), 'Annual Inflation'!$AM$6:$BA$6, 0))/100)</f>
        <v>2.4801225431334784E-2</v>
      </c>
      <c r="K328" s="257">
        <f>IF($E328&lt;DATE(2018,7,1),"-",INDEX('Annual Inflation'!$AM$50:$BA$50, MATCH(YEAR(EOMONTH($E328,6)), 'Annual Inflation'!$AM$6:$BA$6, 0))/100)</f>
        <v>3.711413121659124E-2</v>
      </c>
      <c r="L328" s="258">
        <f t="shared" si="29"/>
        <v>140.96646760848998</v>
      </c>
      <c r="M328" s="258">
        <f t="shared" si="30"/>
        <v>415.70805505859391</v>
      </c>
      <c r="N328" s="258">
        <f t="shared" si="31"/>
        <v>408.91474287020128</v>
      </c>
    </row>
    <row r="329" spans="5:14" ht="16">
      <c r="E329" s="248">
        <v>46113</v>
      </c>
      <c r="F329" s="323">
        <f t="shared" si="27"/>
        <v>46142</v>
      </c>
      <c r="G329" s="159">
        <f t="shared" si="28"/>
        <v>2027</v>
      </c>
      <c r="H329" s="499"/>
      <c r="I329" s="499"/>
      <c r="J329" s="257">
        <f>IF($E329&lt;DATE(2018,7,1),"-",INDEX('Annual Inflation'!$AM$53:$BA$53, MATCH(YEAR(EOMONTH($E329,6)), 'Annual Inflation'!$AM$6:$BA$6, 0))/100)</f>
        <v>2.4801225431334784E-2</v>
      </c>
      <c r="K329" s="257">
        <f>IF($E329&lt;DATE(2018,7,1),"-",INDEX('Annual Inflation'!$AM$50:$BA$50, MATCH(YEAR(EOMONTH($E329,6)), 'Annual Inflation'!$AM$6:$BA$6, 0))/100)</f>
        <v>3.711413121659124E-2</v>
      </c>
      <c r="L329" s="258">
        <f t="shared" si="29"/>
        <v>141.25455246247833</v>
      </c>
      <c r="M329" s="258">
        <f t="shared" si="30"/>
        <v>416.97240936534223</v>
      </c>
      <c r="N329" s="258">
        <f t="shared" si="31"/>
        <v>409.7504178075958</v>
      </c>
    </row>
    <row r="330" spans="5:14" ht="16">
      <c r="E330" s="248">
        <v>46143</v>
      </c>
      <c r="F330" s="323">
        <f t="shared" si="27"/>
        <v>46173</v>
      </c>
      <c r="G330" s="159">
        <f t="shared" si="28"/>
        <v>2027</v>
      </c>
      <c r="H330" s="499"/>
      <c r="I330" s="499"/>
      <c r="J330" s="257">
        <f>IF($E330&lt;DATE(2018,7,1),"-",INDEX('Annual Inflation'!$AM$53:$BA$53, MATCH(YEAR(EOMONTH($E330,6)), 'Annual Inflation'!$AM$6:$BA$6, 0))/100)</f>
        <v>2.4801225431334784E-2</v>
      </c>
      <c r="K330" s="257">
        <f>IF($E330&lt;DATE(2018,7,1),"-",INDEX('Annual Inflation'!$AM$50:$BA$50, MATCH(YEAR(EOMONTH($E330,6)), 'Annual Inflation'!$AM$6:$BA$6, 0))/100)</f>
        <v>3.711413121659124E-2</v>
      </c>
      <c r="L330" s="258">
        <f t="shared" si="29"/>
        <v>141.54322605848813</v>
      </c>
      <c r="M330" s="258">
        <f t="shared" si="30"/>
        <v>418.24060913958516</v>
      </c>
      <c r="N330" s="258">
        <f t="shared" si="31"/>
        <v>410.58780056456192</v>
      </c>
    </row>
    <row r="331" spans="5:14" ht="16">
      <c r="E331" s="248">
        <v>46174</v>
      </c>
      <c r="F331" s="323">
        <f t="shared" si="27"/>
        <v>46203</v>
      </c>
      <c r="G331" s="159">
        <f t="shared" si="28"/>
        <v>2027</v>
      </c>
      <c r="H331" s="499"/>
      <c r="I331" s="499"/>
      <c r="J331" s="257">
        <f>IF($E331&lt;DATE(2018,7,1),"-",INDEX('Annual Inflation'!$AM$53:$BA$53, MATCH(YEAR(EOMONTH($E331,6)), 'Annual Inflation'!$AM$6:$BA$6, 0))/100)</f>
        <v>2.4801225431334784E-2</v>
      </c>
      <c r="K331" s="257">
        <f>IF($E331&lt;DATE(2018,7,1),"-",INDEX('Annual Inflation'!$AM$50:$BA$50, MATCH(YEAR(EOMONTH($E331,6)), 'Annual Inflation'!$AM$6:$BA$6, 0))/100)</f>
        <v>3.711413121659124E-2</v>
      </c>
      <c r="L331" s="258">
        <f t="shared" si="29"/>
        <v>141.83248959969674</v>
      </c>
      <c r="M331" s="258">
        <f t="shared" si="30"/>
        <v>419.51266607711102</v>
      </c>
      <c r="N331" s="258">
        <f t="shared" si="31"/>
        <v>411.4268946312697</v>
      </c>
    </row>
    <row r="332" spans="5:14" ht="16">
      <c r="E332" s="248">
        <v>46204</v>
      </c>
      <c r="F332" s="323">
        <f t="shared" si="27"/>
        <v>46234</v>
      </c>
      <c r="G332" s="159">
        <f t="shared" si="28"/>
        <v>2027</v>
      </c>
      <c r="H332" s="499"/>
      <c r="I332" s="499"/>
      <c r="J332" s="257">
        <f>IF($E332&lt;DATE(2018,7,1),"-",INDEX('Annual Inflation'!$AM$53:$BA$53, MATCH(YEAR(EOMONTH($E332,6)), 'Annual Inflation'!$AM$6:$BA$6, 0))/100)</f>
        <v>2.0152390816676968E-2</v>
      </c>
      <c r="K332" s="257">
        <f>IF($E332&lt;DATE(2018,7,1),"-",INDEX('Annual Inflation'!$AM$50:$BA$50, MATCH(YEAR(EOMONTH($E332,6)), 'Annual Inflation'!$AM$6:$BA$6, 0))/100)</f>
        <v>3.1282634078222848E-2</v>
      </c>
      <c r="L332" s="258">
        <f t="shared" si="29"/>
        <v>142.06850612999182</v>
      </c>
      <c r="M332" s="258">
        <f t="shared" si="30"/>
        <v>420.59091404377295</v>
      </c>
      <c r="N332" s="258">
        <f t="shared" si="31"/>
        <v>412.11153006575313</v>
      </c>
    </row>
    <row r="333" spans="5:14" ht="16">
      <c r="E333" s="248">
        <v>46235</v>
      </c>
      <c r="F333" s="323">
        <f t="shared" si="27"/>
        <v>46265</v>
      </c>
      <c r="G333" s="159">
        <f t="shared" si="28"/>
        <v>2027</v>
      </c>
      <c r="H333" s="499"/>
      <c r="I333" s="499"/>
      <c r="J333" s="257">
        <f>IF($E333&lt;DATE(2018,7,1),"-",INDEX('Annual Inflation'!$AM$53:$BA$53, MATCH(YEAR(EOMONTH($E333,6)), 'Annual Inflation'!$AM$6:$BA$6, 0))/100)</f>
        <v>2.0152390816676968E-2</v>
      </c>
      <c r="K333" s="257">
        <f>IF($E333&lt;DATE(2018,7,1),"-",INDEX('Annual Inflation'!$AM$50:$BA$50, MATCH(YEAR(EOMONTH($E333,6)), 'Annual Inflation'!$AM$6:$BA$6, 0))/100)</f>
        <v>3.1282634078222848E-2</v>
      </c>
      <c r="L333" s="258">
        <f t="shared" si="29"/>
        <v>142.30491540388698</v>
      </c>
      <c r="M333" s="258">
        <f t="shared" si="30"/>
        <v>421.67193336579942</v>
      </c>
      <c r="N333" s="258">
        <f t="shared" si="31"/>
        <v>412.79730476868076</v>
      </c>
    </row>
    <row r="334" spans="5:14" ht="16">
      <c r="E334" s="248">
        <v>46266</v>
      </c>
      <c r="F334" s="323">
        <f t="shared" si="27"/>
        <v>46295</v>
      </c>
      <c r="G334" s="159">
        <f t="shared" si="28"/>
        <v>2027</v>
      </c>
      <c r="H334" s="499"/>
      <c r="I334" s="499"/>
      <c r="J334" s="257">
        <f>IF($E334&lt;DATE(2018,7,1),"-",INDEX('Annual Inflation'!$AM$53:$BA$53, MATCH(YEAR(EOMONTH($E334,6)), 'Annual Inflation'!$AM$6:$BA$6, 0))/100)</f>
        <v>2.0152390816676968E-2</v>
      </c>
      <c r="K334" s="257">
        <f>IF($E334&lt;DATE(2018,7,1),"-",INDEX('Annual Inflation'!$AM$50:$BA$50, MATCH(YEAR(EOMONTH($E334,6)), 'Annual Inflation'!$AM$6:$BA$6, 0))/100)</f>
        <v>3.1282634078222848E-2</v>
      </c>
      <c r="L334" s="258">
        <f t="shared" si="29"/>
        <v>142.54171807492767</v>
      </c>
      <c r="M334" s="258">
        <f t="shared" si="30"/>
        <v>422.75573116623701</v>
      </c>
      <c r="N334" s="258">
        <f t="shared" si="31"/>
        <v>413.48422063585366</v>
      </c>
    </row>
    <row r="335" spans="5:14" ht="16">
      <c r="E335" s="248">
        <v>46296</v>
      </c>
      <c r="F335" s="323">
        <f t="shared" si="27"/>
        <v>46326</v>
      </c>
      <c r="G335" s="159">
        <f t="shared" si="28"/>
        <v>2027</v>
      </c>
      <c r="H335" s="499"/>
      <c r="I335" s="499"/>
      <c r="J335" s="257">
        <f>IF($E335&lt;DATE(2018,7,1),"-",INDEX('Annual Inflation'!$AM$53:$BA$53, MATCH(YEAR(EOMONTH($E335,6)), 'Annual Inflation'!$AM$6:$BA$6, 0))/100)</f>
        <v>2.0152390816676968E-2</v>
      </c>
      <c r="K335" s="257">
        <f>IF($E335&lt;DATE(2018,7,1),"-",INDEX('Annual Inflation'!$AM$50:$BA$50, MATCH(YEAR(EOMONTH($E335,6)), 'Annual Inflation'!$AM$6:$BA$6, 0))/100)</f>
        <v>3.1282634078222848E-2</v>
      </c>
      <c r="L335" s="258">
        <f t="shared" si="29"/>
        <v>142.77891479774692</v>
      </c>
      <c r="M335" s="258">
        <f t="shared" si="30"/>
        <v>423.84231458644035</v>
      </c>
      <c r="N335" s="258">
        <f t="shared" si="31"/>
        <v>414.17227956622759</v>
      </c>
    </row>
    <row r="336" spans="5:14" ht="16">
      <c r="E336" s="248">
        <v>46327</v>
      </c>
      <c r="F336" s="323">
        <f t="shared" si="27"/>
        <v>46356</v>
      </c>
      <c r="G336" s="159">
        <f t="shared" si="28"/>
        <v>2027</v>
      </c>
      <c r="H336" s="499"/>
      <c r="I336" s="499"/>
      <c r="J336" s="257">
        <f>IF($E336&lt;DATE(2018,7,1),"-",INDEX('Annual Inflation'!$AM$53:$BA$53, MATCH(YEAR(EOMONTH($E336,6)), 'Annual Inflation'!$AM$6:$BA$6, 0))/100)</f>
        <v>2.0152390816676968E-2</v>
      </c>
      <c r="K336" s="257">
        <f>IF($E336&lt;DATE(2018,7,1),"-",INDEX('Annual Inflation'!$AM$50:$BA$50, MATCH(YEAR(EOMONTH($E336,6)), 'Annual Inflation'!$AM$6:$BA$6, 0))/100)</f>
        <v>3.1282634078222848E-2</v>
      </c>
      <c r="L336" s="258">
        <f t="shared" si="29"/>
        <v>143.01650622806707</v>
      </c>
      <c r="M336" s="258">
        <f t="shared" si="30"/>
        <v>424.93169078611896</v>
      </c>
      <c r="N336" s="258">
        <f t="shared" si="31"/>
        <v>414.86148346191834</v>
      </c>
    </row>
    <row r="337" spans="5:14" ht="16">
      <c r="E337" s="248">
        <v>46357</v>
      </c>
      <c r="F337" s="323">
        <f t="shared" si="27"/>
        <v>46387</v>
      </c>
      <c r="G337" s="159">
        <f t="shared" si="28"/>
        <v>2027</v>
      </c>
      <c r="H337" s="499"/>
      <c r="I337" s="499"/>
      <c r="J337" s="257">
        <f>IF($E337&lt;DATE(2018,7,1),"-",INDEX('Annual Inflation'!$AM$53:$BA$53, MATCH(YEAR(EOMONTH($E337,6)), 'Annual Inflation'!$AM$6:$BA$6, 0))/100)</f>
        <v>2.0152390816676968E-2</v>
      </c>
      <c r="K337" s="257">
        <f>IF($E337&lt;DATE(2018,7,1),"-",INDEX('Annual Inflation'!$AM$50:$BA$50, MATCH(YEAR(EOMONTH($E337,6)), 'Annual Inflation'!$AM$6:$BA$6, 0))/100)</f>
        <v>3.1282634078222848E-2</v>
      </c>
      <c r="L337" s="258">
        <f t="shared" si="29"/>
        <v>143.25449302270164</v>
      </c>
      <c r="M337" s="258">
        <f t="shared" si="30"/>
        <v>426.02386694338458</v>
      </c>
      <c r="N337" s="258">
        <f t="shared" si="31"/>
        <v>415.55183422820681</v>
      </c>
    </row>
    <row r="338" spans="5:14" ht="16">
      <c r="E338" s="248">
        <v>46388</v>
      </c>
      <c r="F338" s="323">
        <f t="shared" si="27"/>
        <v>46418</v>
      </c>
      <c r="G338" s="159">
        <f t="shared" si="28"/>
        <v>2027</v>
      </c>
      <c r="H338" s="499"/>
      <c r="I338" s="499"/>
      <c r="J338" s="257">
        <f>IF($E338&lt;DATE(2018,7,1),"-",INDEX('Annual Inflation'!$AM$53:$BA$53, MATCH(YEAR(EOMONTH($E338,6)), 'Annual Inflation'!$AM$6:$BA$6, 0))/100)</f>
        <v>2.0152390816676968E-2</v>
      </c>
      <c r="K338" s="257">
        <f>IF($E338&lt;DATE(2018,7,1),"-",INDEX('Annual Inflation'!$AM$50:$BA$50, MATCH(YEAR(EOMONTH($E338,6)), 'Annual Inflation'!$AM$6:$BA$6, 0))/100)</f>
        <v>3.1282634078222848E-2</v>
      </c>
      <c r="L338" s="258">
        <f t="shared" si="29"/>
        <v>143.49287583955712</v>
      </c>
      <c r="M338" s="258">
        <f t="shared" si="30"/>
        <v>427.11885025479842</v>
      </c>
      <c r="N338" s="258">
        <f t="shared" si="31"/>
        <v>416.24333377354446</v>
      </c>
    </row>
    <row r="339" spans="5:14" ht="16">
      <c r="E339" s="248">
        <v>46419</v>
      </c>
      <c r="F339" s="323">
        <f t="shared" si="27"/>
        <v>46446</v>
      </c>
      <c r="G339" s="159">
        <f t="shared" si="28"/>
        <v>2027</v>
      </c>
      <c r="H339" s="499"/>
      <c r="I339" s="499"/>
      <c r="J339" s="257">
        <f>IF($E339&lt;DATE(2018,7,1),"-",INDEX('Annual Inflation'!$AM$53:$BA$53, MATCH(YEAR(EOMONTH($E339,6)), 'Annual Inflation'!$AM$6:$BA$6, 0))/100)</f>
        <v>2.0152390816676968E-2</v>
      </c>
      <c r="K339" s="257">
        <f>IF($E339&lt;DATE(2018,7,1),"-",INDEX('Annual Inflation'!$AM$50:$BA$50, MATCH(YEAR(EOMONTH($E339,6)), 'Annual Inflation'!$AM$6:$BA$6, 0))/100)</f>
        <v>3.1282634078222848E-2</v>
      </c>
      <c r="L339" s="258">
        <f t="shared" si="29"/>
        <v>143.73165533763475</v>
      </c>
      <c r="M339" s="258">
        <f t="shared" si="30"/>
        <v>428.21664793541856</v>
      </c>
      <c r="N339" s="258">
        <f t="shared" si="31"/>
        <v>416.93598400955852</v>
      </c>
    </row>
    <row r="340" spans="5:14" ht="16">
      <c r="E340" s="248">
        <v>46447</v>
      </c>
      <c r="F340" s="323">
        <f t="shared" si="27"/>
        <v>46477</v>
      </c>
      <c r="G340" s="159">
        <f t="shared" si="28"/>
        <v>2027</v>
      </c>
      <c r="H340" s="499"/>
      <c r="I340" s="499"/>
      <c r="J340" s="257">
        <f>IF($E340&lt;DATE(2018,7,1),"-",INDEX('Annual Inflation'!$AM$53:$BA$53, MATCH(YEAR(EOMONTH($E340,6)), 'Annual Inflation'!$AM$6:$BA$6, 0))/100)</f>
        <v>2.0152390816676968E-2</v>
      </c>
      <c r="K340" s="257">
        <f>IF($E340&lt;DATE(2018,7,1),"-",INDEX('Annual Inflation'!$AM$50:$BA$50, MATCH(YEAR(EOMONTH($E340,6)), 'Annual Inflation'!$AM$6:$BA$6, 0))/100)</f>
        <v>3.1282634078222848E-2</v>
      </c>
      <c r="L340" s="258">
        <f t="shared" si="29"/>
        <v>143.97083217703241</v>
      </c>
      <c r="M340" s="258">
        <f t="shared" si="30"/>
        <v>429.31726721884752</v>
      </c>
      <c r="N340" s="258">
        <f t="shared" si="31"/>
        <v>417.62978685105719</v>
      </c>
    </row>
    <row r="341" spans="5:14" ht="16">
      <c r="E341" s="248">
        <v>46478</v>
      </c>
      <c r="F341" s="323">
        <f t="shared" si="27"/>
        <v>46507</v>
      </c>
      <c r="G341" s="159">
        <f t="shared" si="28"/>
        <v>2028</v>
      </c>
      <c r="H341" s="499"/>
      <c r="I341" s="499"/>
      <c r="J341" s="257">
        <f>IF($E341&lt;DATE(2018,7,1),"-",INDEX('Annual Inflation'!$AM$53:$BA$53, MATCH(YEAR(EOMONTH($E341,6)), 'Annual Inflation'!$AM$6:$BA$6, 0))/100)</f>
        <v>2.0152390816676968E-2</v>
      </c>
      <c r="K341" s="257">
        <f>IF($E341&lt;DATE(2018,7,1),"-",INDEX('Annual Inflation'!$AM$50:$BA$50, MATCH(YEAR(EOMONTH($E341,6)), 'Annual Inflation'!$AM$6:$BA$6, 0))/100)</f>
        <v>3.1282634078222848E-2</v>
      </c>
      <c r="L341" s="258">
        <f t="shared" si="29"/>
        <v>144.21040701894643</v>
      </c>
      <c r="M341" s="258">
        <f t="shared" si="30"/>
        <v>430.4207153572799</v>
      </c>
      <c r="N341" s="258">
        <f t="shared" si="31"/>
        <v>418.32474421603507</v>
      </c>
    </row>
    <row r="342" spans="5:14" ht="16">
      <c r="E342" s="248">
        <v>46508</v>
      </c>
      <c r="F342" s="323">
        <f t="shared" si="27"/>
        <v>46538</v>
      </c>
      <c r="G342" s="159">
        <f t="shared" si="28"/>
        <v>2028</v>
      </c>
      <c r="H342" s="499"/>
      <c r="I342" s="499"/>
      <c r="J342" s="257">
        <f>IF($E342&lt;DATE(2018,7,1),"-",INDEX('Annual Inflation'!$AM$53:$BA$53, MATCH(YEAR(EOMONTH($E342,6)), 'Annual Inflation'!$AM$6:$BA$6, 0))/100)</f>
        <v>2.0152390816676968E-2</v>
      </c>
      <c r="K342" s="257">
        <f>IF($E342&lt;DATE(2018,7,1),"-",INDEX('Annual Inflation'!$AM$50:$BA$50, MATCH(YEAR(EOMONTH($E342,6)), 'Annual Inflation'!$AM$6:$BA$6, 0))/100)</f>
        <v>3.1282634078222848E-2</v>
      </c>
      <c r="L342" s="258">
        <f t="shared" si="29"/>
        <v>144.45038052567338</v>
      </c>
      <c r="M342" s="258">
        <f t="shared" si="30"/>
        <v>431.52699962155015</v>
      </c>
      <c r="N342" s="258">
        <f t="shared" si="31"/>
        <v>419.02085802567842</v>
      </c>
    </row>
    <row r="343" spans="5:14" ht="16">
      <c r="E343" s="248">
        <v>46539</v>
      </c>
      <c r="F343" s="323">
        <f t="shared" si="27"/>
        <v>46568</v>
      </c>
      <c r="G343" s="159">
        <f t="shared" si="28"/>
        <v>2028</v>
      </c>
      <c r="H343" s="499"/>
      <c r="I343" s="499"/>
      <c r="J343" s="257">
        <f>IF($E343&lt;DATE(2018,7,1),"-",INDEX('Annual Inflation'!$AM$53:$BA$53, MATCH(YEAR(EOMONTH($E343,6)), 'Annual Inflation'!$AM$6:$BA$6, 0))/100)</f>
        <v>2.0152390816676968E-2</v>
      </c>
      <c r="K343" s="257">
        <f>IF($E343&lt;DATE(2018,7,1),"-",INDEX('Annual Inflation'!$AM$50:$BA$50, MATCH(YEAR(EOMONTH($E343,6)), 'Annual Inflation'!$AM$6:$BA$6, 0))/100)</f>
        <v>3.1282634078222848E-2</v>
      </c>
      <c r="L343" s="258">
        <f t="shared" si="29"/>
        <v>144.69075336061195</v>
      </c>
      <c r="M343" s="258">
        <f t="shared" si="30"/>
        <v>432.63612730118058</v>
      </c>
      <c r="N343" s="258">
        <f t="shared" si="31"/>
        <v>419.71813020437042</v>
      </c>
    </row>
    <row r="344" spans="5:14" ht="16">
      <c r="E344" s="248">
        <v>46569</v>
      </c>
      <c r="F344" s="323">
        <f t="shared" si="27"/>
        <v>46599</v>
      </c>
      <c r="G344" s="159">
        <f t="shared" si="28"/>
        <v>2028</v>
      </c>
      <c r="H344" s="499"/>
      <c r="I344" s="499"/>
      <c r="J344" s="257">
        <f>IF($E344&lt;DATE(2018,7,1),"-",INDEX('Annual Inflation'!$AM$53:$BA$53, MATCH(YEAR(EOMONTH($E344,6)), 'Annual Inflation'!$AM$6:$BA$6, 0))/100)</f>
        <v>2.035043738253961E-2</v>
      </c>
      <c r="K344" s="257">
        <f>IF($E344&lt;DATE(2018,7,1),"-",INDEX('Annual Inflation'!$AM$50:$BA$50, MATCH(YEAR(EOMONTH($E344,6)), 'Annual Inflation'!$AM$6:$BA$6, 0))/100)</f>
        <v>2.8700091896755264E-2</v>
      </c>
      <c r="L344" s="258">
        <f t="shared" si="29"/>
        <v>144.93387066131137</v>
      </c>
      <c r="M344" s="258">
        <f t="shared" si="30"/>
        <v>433.65748549902173</v>
      </c>
      <c r="N344" s="258">
        <f t="shared" si="31"/>
        <v>420.42336351403173</v>
      </c>
    </row>
    <row r="345" spans="5:14" ht="16">
      <c r="E345" s="248">
        <v>46600</v>
      </c>
      <c r="F345" s="323">
        <f t="shared" si="27"/>
        <v>46630</v>
      </c>
      <c r="G345" s="159">
        <f t="shared" si="28"/>
        <v>2028</v>
      </c>
      <c r="H345" s="499"/>
      <c r="I345" s="499"/>
      <c r="J345" s="257">
        <f>IF($E345&lt;DATE(2018,7,1),"-",INDEX('Annual Inflation'!$AM$53:$BA$53, MATCH(YEAR(EOMONTH($E345,6)), 'Annual Inflation'!$AM$6:$BA$6, 0))/100)</f>
        <v>2.035043738253961E-2</v>
      </c>
      <c r="K345" s="257">
        <f>IF($E345&lt;DATE(2018,7,1),"-",INDEX('Annual Inflation'!$AM$50:$BA$50, MATCH(YEAR(EOMONTH($E345,6)), 'Annual Inflation'!$AM$6:$BA$6, 0))/100)</f>
        <v>2.8700091896755264E-2</v>
      </c>
      <c r="L345" s="258">
        <f t="shared" si="29"/>
        <v>145.17739646096823</v>
      </c>
      <c r="M345" s="258">
        <f t="shared" si="30"/>
        <v>434.68125489764446</v>
      </c>
      <c r="N345" s="258">
        <f t="shared" si="31"/>
        <v>421.12978179519001</v>
      </c>
    </row>
    <row r="346" spans="5:14" ht="16">
      <c r="E346" s="248">
        <v>46631</v>
      </c>
      <c r="F346" s="323">
        <f t="shared" si="27"/>
        <v>46660</v>
      </c>
      <c r="G346" s="159">
        <f t="shared" si="28"/>
        <v>2028</v>
      </c>
      <c r="H346" s="499"/>
      <c r="I346" s="499"/>
      <c r="J346" s="257">
        <f>IF($E346&lt;DATE(2018,7,1),"-",INDEX('Annual Inflation'!$AM$53:$BA$53, MATCH(YEAR(EOMONTH($E346,6)), 'Annual Inflation'!$AM$6:$BA$6, 0))/100)</f>
        <v>2.035043738253961E-2</v>
      </c>
      <c r="K346" s="257">
        <f>IF($E346&lt;DATE(2018,7,1),"-",INDEX('Annual Inflation'!$AM$50:$BA$50, MATCH(YEAR(EOMONTH($E346,6)), 'Annual Inflation'!$AM$6:$BA$6, 0))/100)</f>
        <v>2.8700091896755264E-2</v>
      </c>
      <c r="L346" s="258">
        <f t="shared" si="29"/>
        <v>145.42133144596477</v>
      </c>
      <c r="M346" s="258">
        <f t="shared" si="30"/>
        <v>435.70744118936051</v>
      </c>
      <c r="N346" s="258">
        <f t="shared" si="31"/>
        <v>421.83738703889907</v>
      </c>
    </row>
    <row r="347" spans="5:14" ht="16">
      <c r="E347" s="248">
        <v>46661</v>
      </c>
      <c r="F347" s="323">
        <f t="shared" si="27"/>
        <v>46691</v>
      </c>
      <c r="G347" s="159">
        <f t="shared" si="28"/>
        <v>2028</v>
      </c>
      <c r="H347" s="499"/>
      <c r="I347" s="499"/>
      <c r="J347" s="257">
        <f>IF($E347&lt;DATE(2018,7,1),"-",INDEX('Annual Inflation'!$AM$53:$BA$53, MATCH(YEAR(EOMONTH($E347,6)), 'Annual Inflation'!$AM$6:$BA$6, 0))/100)</f>
        <v>2.035043738253961E-2</v>
      </c>
      <c r="K347" s="257">
        <f>IF($E347&lt;DATE(2018,7,1),"-",INDEX('Annual Inflation'!$AM$50:$BA$50, MATCH(YEAR(EOMONTH($E347,6)), 'Annual Inflation'!$AM$6:$BA$6, 0))/100)</f>
        <v>2.8700091896755264E-2</v>
      </c>
      <c r="L347" s="258">
        <f t="shared" si="29"/>
        <v>145.66567630383653</v>
      </c>
      <c r="M347" s="258">
        <f t="shared" si="30"/>
        <v>436.73605007991983</v>
      </c>
      <c r="N347" s="258">
        <f t="shared" si="31"/>
        <v>422.54618123955811</v>
      </c>
    </row>
    <row r="348" spans="5:14" ht="16">
      <c r="E348" s="248">
        <v>46692</v>
      </c>
      <c r="F348" s="323">
        <f t="shared" si="27"/>
        <v>46721</v>
      </c>
      <c r="G348" s="159">
        <f t="shared" si="28"/>
        <v>2028</v>
      </c>
      <c r="H348" s="499"/>
      <c r="I348" s="499"/>
      <c r="J348" s="257">
        <f>IF($E348&lt;DATE(2018,7,1),"-",INDEX('Annual Inflation'!$AM$53:$BA$53, MATCH(YEAR(EOMONTH($E348,6)), 'Annual Inflation'!$AM$6:$BA$6, 0))/100)</f>
        <v>2.035043738253961E-2</v>
      </c>
      <c r="K348" s="257">
        <f>IF($E348&lt;DATE(2018,7,1),"-",INDEX('Annual Inflation'!$AM$50:$BA$50, MATCH(YEAR(EOMONTH($E348,6)), 'Annual Inflation'!$AM$6:$BA$6, 0))/100)</f>
        <v>2.8700091896755264E-2</v>
      </c>
      <c r="L348" s="258">
        <f t="shared" si="29"/>
        <v>145.91043172327431</v>
      </c>
      <c r="M348" s="258">
        <f t="shared" si="30"/>
        <v>437.76708728854243</v>
      </c>
      <c r="N348" s="258">
        <f t="shared" si="31"/>
        <v>423.25616639491756</v>
      </c>
    </row>
    <row r="349" spans="5:14" ht="16">
      <c r="E349" s="248">
        <v>46722</v>
      </c>
      <c r="F349" s="323">
        <f t="shared" si="27"/>
        <v>46752</v>
      </c>
      <c r="G349" s="159">
        <f t="shared" si="28"/>
        <v>2028</v>
      </c>
      <c r="H349" s="499"/>
      <c r="I349" s="499"/>
      <c r="J349" s="257">
        <f>IF($E349&lt;DATE(2018,7,1),"-",INDEX('Annual Inflation'!$AM$53:$BA$53, MATCH(YEAR(EOMONTH($E349,6)), 'Annual Inflation'!$AM$6:$BA$6, 0))/100)</f>
        <v>2.035043738253961E-2</v>
      </c>
      <c r="K349" s="257">
        <f>IF($E349&lt;DATE(2018,7,1),"-",INDEX('Annual Inflation'!$AM$50:$BA$50, MATCH(YEAR(EOMONTH($E349,6)), 'Annual Inflation'!$AM$6:$BA$6, 0))/100)</f>
        <v>2.8700091896755264E-2</v>
      </c>
      <c r="L349" s="258">
        <f t="shared" si="29"/>
        <v>146.15559839412603</v>
      </c>
      <c r="M349" s="258">
        <f t="shared" si="30"/>
        <v>438.80055854795006</v>
      </c>
      <c r="N349" s="258">
        <f t="shared" si="31"/>
        <v>423.96734450608443</v>
      </c>
    </row>
    <row r="350" spans="5:14" ht="16">
      <c r="E350" s="248">
        <v>46753</v>
      </c>
      <c r="F350" s="323">
        <f t="shared" si="27"/>
        <v>46783</v>
      </c>
      <c r="G350" s="159">
        <f t="shared" si="28"/>
        <v>2028</v>
      </c>
      <c r="H350" s="499"/>
      <c r="I350" s="499"/>
      <c r="J350" s="257">
        <f>IF($E350&lt;DATE(2018,7,1),"-",INDEX('Annual Inflation'!$AM$53:$BA$53, MATCH(YEAR(EOMONTH($E350,6)), 'Annual Inflation'!$AM$6:$BA$6, 0))/100)</f>
        <v>2.035043738253961E-2</v>
      </c>
      <c r="K350" s="257">
        <f>IF($E350&lt;DATE(2018,7,1),"-",INDEX('Annual Inflation'!$AM$50:$BA$50, MATCH(YEAR(EOMONTH($E350,6)), 'Annual Inflation'!$AM$6:$BA$6, 0))/100)</f>
        <v>2.8700091896755264E-2</v>
      </c>
      <c r="L350" s="258">
        <f t="shared" si="29"/>
        <v>146.40117700739879</v>
      </c>
      <c r="M350" s="258">
        <f t="shared" si="30"/>
        <v>439.83646960439825</v>
      </c>
      <c r="N350" s="258">
        <f t="shared" si="31"/>
        <v>424.67971757752827</v>
      </c>
    </row>
    <row r="351" spans="5:14" ht="16">
      <c r="E351" s="248">
        <v>46784</v>
      </c>
      <c r="F351" s="323">
        <f t="shared" si="27"/>
        <v>46812</v>
      </c>
      <c r="G351" s="159">
        <f t="shared" si="28"/>
        <v>2028</v>
      </c>
      <c r="H351" s="499"/>
      <c r="I351" s="499"/>
      <c r="J351" s="257">
        <f>IF($E351&lt;DATE(2018,7,1),"-",INDEX('Annual Inflation'!$AM$53:$BA$53, MATCH(YEAR(EOMONTH($E351,6)), 'Annual Inflation'!$AM$6:$BA$6, 0))/100)</f>
        <v>2.035043738253961E-2</v>
      </c>
      <c r="K351" s="257">
        <f>IF($E351&lt;DATE(2018,7,1),"-",INDEX('Annual Inflation'!$AM$50:$BA$50, MATCH(YEAR(EOMONTH($E351,6)), 'Annual Inflation'!$AM$6:$BA$6, 0))/100)</f>
        <v>2.8700091896755264E-2</v>
      </c>
      <c r="L351" s="258">
        <f t="shared" si="29"/>
        <v>146.64716825526068</v>
      </c>
      <c r="M351" s="258">
        <f t="shared" si="30"/>
        <v>440.87482621770812</v>
      </c>
      <c r="N351" s="258">
        <f t="shared" si="31"/>
        <v>425.39328761708646</v>
      </c>
    </row>
    <row r="352" spans="5:14" ht="16">
      <c r="E352" s="248">
        <v>46813</v>
      </c>
      <c r="F352" s="323">
        <f t="shared" si="27"/>
        <v>46843</v>
      </c>
      <c r="G352" s="159">
        <f t="shared" si="28"/>
        <v>2028</v>
      </c>
      <c r="H352" s="499"/>
      <c r="I352" s="499"/>
      <c r="J352" s="257">
        <f>IF($E352&lt;DATE(2018,7,1),"-",INDEX('Annual Inflation'!$AM$53:$BA$53, MATCH(YEAR(EOMONTH($E352,6)), 'Annual Inflation'!$AM$6:$BA$6, 0))/100)</f>
        <v>2.035043738253961E-2</v>
      </c>
      <c r="K352" s="257">
        <f>IF($E352&lt;DATE(2018,7,1),"-",INDEX('Annual Inflation'!$AM$50:$BA$50, MATCH(YEAR(EOMONTH($E352,6)), 'Annual Inflation'!$AM$6:$BA$6, 0))/100)</f>
        <v>2.8700091896755264E-2</v>
      </c>
      <c r="L352" s="258">
        <f t="shared" si="29"/>
        <v>146.89357283104292</v>
      </c>
      <c r="M352" s="258">
        <f t="shared" si="30"/>
        <v>441.9156341612985</v>
      </c>
      <c r="N352" s="258">
        <f t="shared" si="31"/>
        <v>426.10805663597023</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 zeroHeight="1" outlineLevelCol="1"/>
  <cols>
    <col min="1" max="4" width="1.4609375" style="82" customWidth="1"/>
    <col min="5" max="5" width="65" style="82" customWidth="1"/>
    <col min="6" max="6" width="3" style="82" customWidth="1"/>
    <col min="7" max="7" width="12" style="82" customWidth="1"/>
    <col min="8" max="8" width="2.3828125" style="82" customWidth="1"/>
    <col min="9" max="9" width="11" style="82" customWidth="1"/>
    <col min="10" max="10" width="1.4609375" style="82" customWidth="1"/>
    <col min="11" max="35" width="9.61328125" style="82" hidden="1" customWidth="1" outlineLevel="1"/>
    <col min="36" max="36" width="9.61328125" style="82" customWidth="1" collapsed="1"/>
    <col min="37" max="48" width="9.61328125" style="82" customWidth="1"/>
    <col min="49" max="49" width="3" style="82" customWidth="1"/>
    <col min="50" max="54" width="0" style="82" hidden="1" customWidth="1"/>
    <col min="55" max="16384" width="9" style="82" hidden="1"/>
  </cols>
  <sheetData>
    <row r="1" spans="1:51" ht="18.5">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SPD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8"/>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49"/>
      <c r="AR10" s="22"/>
      <c r="AS10" s="22"/>
      <c r="AT10" s="22"/>
      <c r="AU10" s="22"/>
      <c r="AV10" s="22"/>
      <c r="AW10" s="2"/>
    </row>
    <row r="11" spans="1:51">
      <c r="AJ11" s="2"/>
      <c r="AK11" s="2"/>
      <c r="AL11" s="2"/>
      <c r="AM11" s="2"/>
      <c r="AN11" s="2"/>
      <c r="AO11" s="2"/>
      <c r="AP11" s="2"/>
      <c r="AQ11" s="548"/>
      <c r="AR11" s="2"/>
      <c r="AS11" s="2"/>
      <c r="AT11" s="2"/>
      <c r="AU11" s="2"/>
      <c r="AV11" s="2"/>
    </row>
    <row r="12" spans="1:51">
      <c r="E12" s="82" t="s">
        <v>123</v>
      </c>
      <c r="I12" s="277" t="b">
        <f>ABS(SUM(AJ12:AV12) - 0) &lt; 0.001</f>
        <v>1</v>
      </c>
      <c r="AJ12" s="2"/>
      <c r="AK12" s="2"/>
      <c r="AL12" s="2"/>
      <c r="AM12" s="2"/>
      <c r="AN12" s="2"/>
      <c r="AO12" s="2"/>
      <c r="AP12" s="2"/>
      <c r="AQ12" s="548"/>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8"/>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8"/>
      <c r="AR14" s="2"/>
      <c r="AS14" s="2"/>
      <c r="AT14" s="2"/>
      <c r="AU14" s="2"/>
      <c r="AV14" s="2">
        <f>InputSummary!AP380</f>
        <v>0</v>
      </c>
    </row>
    <row r="15" spans="1:51">
      <c r="AJ15" s="2"/>
      <c r="AK15" s="2"/>
      <c r="AL15" s="2"/>
      <c r="AM15" s="2"/>
      <c r="AN15" s="2"/>
      <c r="AO15" s="2"/>
      <c r="AP15" s="2"/>
      <c r="AQ15" s="548"/>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49"/>
      <c r="AR16" s="22"/>
      <c r="AS16" s="22"/>
      <c r="AT16" s="22"/>
      <c r="AU16" s="22"/>
      <c r="AV16" s="22"/>
      <c r="AW16" s="2"/>
    </row>
    <row r="17" spans="2:49">
      <c r="AJ17" s="2"/>
      <c r="AK17" s="2"/>
      <c r="AL17" s="2"/>
      <c r="AM17" s="2"/>
      <c r="AN17" s="2"/>
      <c r="AO17" s="2"/>
      <c r="AP17" s="2"/>
      <c r="AQ17" s="548"/>
      <c r="AR17" s="2"/>
      <c r="AS17" s="2"/>
      <c r="AT17" s="2"/>
      <c r="AU17" s="2"/>
      <c r="AV17" s="2"/>
    </row>
    <row r="18" spans="2:49">
      <c r="E18" s="82" t="s">
        <v>946</v>
      </c>
      <c r="I18" s="277" t="b">
        <f>ABS(SUM(AJ18:AV18) - 0) &lt; 0.001</f>
        <v>1</v>
      </c>
      <c r="AJ18" s="2"/>
      <c r="AK18" s="2"/>
      <c r="AL18" s="2"/>
      <c r="AM18" s="2"/>
      <c r="AN18" s="2"/>
      <c r="AO18" s="2"/>
      <c r="AP18" s="2"/>
      <c r="AQ18" s="548"/>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49"/>
      <c r="AR20" s="22"/>
      <c r="AS20" s="22"/>
      <c r="AT20" s="22"/>
      <c r="AU20" s="22"/>
      <c r="AV20" s="22"/>
      <c r="AW20" s="2"/>
    </row>
    <row r="21" spans="2:49"/>
    <row r="22" spans="2:49"/>
  </sheetData>
  <conditionalFormatting sqref="I6">
    <cfRule type="expression" dxfId="33" priority="25">
      <formula>$I$7=0</formula>
    </cfRule>
    <cfRule type="expression" dxfId="32" priority="26">
      <formula>$I$7&gt;0</formula>
    </cfRule>
  </conditionalFormatting>
  <conditionalFormatting sqref="I12:I14">
    <cfRule type="cellIs" dxfId="31" priority="21" operator="equal">
      <formula>TRUE</formula>
    </cfRule>
    <cfRule type="cellIs" dxfId="30" priority="22" operator="equal">
      <formula>FALSE</formula>
    </cfRule>
  </conditionalFormatting>
  <conditionalFormatting sqref="I18">
    <cfRule type="cellIs" dxfId="29" priority="13" operator="equal">
      <formula>TRUE</formula>
    </cfRule>
    <cfRule type="cellIs" dxfId="28" priority="14" operator="equal">
      <formula>FALSE</formula>
    </cfRule>
  </conditionalFormatting>
  <conditionalFormatting sqref="AM3">
    <cfRule type="expression" dxfId="27" priority="29">
      <formula>$I$7=0</formula>
    </cfRule>
    <cfRule type="expression" dxfId="26"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3460750</xdr:colOff>
                    <xdr:row>0</xdr:row>
                    <xdr:rowOff>50800</xdr:rowOff>
                  </from>
                  <to>
                    <xdr:col>4</xdr:col>
                    <xdr:colOff>4394200</xdr:colOff>
                    <xdr:row>0</xdr:row>
                    <xdr:rowOff>184150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tabSelected="1" topLeftCell="A258" zoomScale="80" zoomScaleNormal="80" workbookViewId="0">
      <selection activeCell="AU267" sqref="AU267"/>
    </sheetView>
  </sheetViews>
  <sheetFormatPr defaultColWidth="0" defaultRowHeight="12.75" customHeight="1" zeroHeight="1" outlineLevelCol="1"/>
  <cols>
    <col min="1" max="1" width="7.460937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10.84375" customWidth="1" collapsed="1"/>
    <col min="37" max="37" width="10.4609375" customWidth="1"/>
    <col min="38" max="38" width="13.765625" customWidth="1"/>
    <col min="39" max="43" width="10.4609375" customWidth="1"/>
    <col min="44" max="48" width="10.4609375" bestFit="1" customWidth="1"/>
    <col min="49" max="49" width="3" customWidth="1"/>
    <col min="50" max="50" width="9" customWidth="1"/>
    <col min="51" max="16384" width="9" hidden="1"/>
  </cols>
  <sheetData>
    <row r="1" spans="1:50" ht="18.5">
      <c r="A1" s="195" t="s">
        <v>47</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1.321792585589326</v>
      </c>
      <c r="AT8" s="92">
        <f>SelectedInputs!AT8</f>
        <v>1.3743827621199309</v>
      </c>
      <c r="AU8" s="92">
        <f>SelectedInputs!AU8</f>
        <v>1.4066722012363251</v>
      </c>
      <c r="AV8" s="92">
        <f>SelectedInputs!AV8</f>
        <v>1.4352422149476913</v>
      </c>
      <c r="AW8" s="165"/>
    </row>
    <row r="9" spans="1:50" ht="16">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7">
        <v>21.76</v>
      </c>
      <c r="AS15" s="527">
        <v>25.6</v>
      </c>
      <c r="AT15" s="527">
        <v>22.64</v>
      </c>
      <c r="AU15" s="527">
        <v>22.21</v>
      </c>
      <c r="AV15" s="527">
        <v>22.87</v>
      </c>
      <c r="AW15" s="184"/>
    </row>
    <row r="16" spans="1:50" ht="16">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7">
        <v>40.21</v>
      </c>
      <c r="AS16" s="527">
        <v>43.95</v>
      </c>
      <c r="AT16" s="527">
        <v>44.23</v>
      </c>
      <c r="AU16" s="527">
        <v>44.77</v>
      </c>
      <c r="AV16" s="527">
        <v>42.96</v>
      </c>
      <c r="AW16" s="184"/>
    </row>
    <row r="17" spans="1:50" ht="16">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7">
        <v>32.65</v>
      </c>
      <c r="AS17" s="527">
        <v>34.369999999999997</v>
      </c>
      <c r="AT17" s="527">
        <v>29.04</v>
      </c>
      <c r="AU17" s="527">
        <v>30.35</v>
      </c>
      <c r="AV17" s="527">
        <v>27.41</v>
      </c>
      <c r="AW17" s="184"/>
    </row>
    <row r="18" spans="1:50" ht="16">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7">
        <v>25.36</v>
      </c>
      <c r="AS18" s="527">
        <v>25.05</v>
      </c>
      <c r="AT18" s="527">
        <v>24.51</v>
      </c>
      <c r="AU18" s="527">
        <v>24.1</v>
      </c>
      <c r="AV18" s="527">
        <v>23.66</v>
      </c>
      <c r="AW18" s="184"/>
    </row>
    <row r="19" spans="1:50" ht="16">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7">
        <v>3.85</v>
      </c>
      <c r="AS19" s="527">
        <v>3.87</v>
      </c>
      <c r="AT19" s="527">
        <v>3.81</v>
      </c>
      <c r="AU19" s="527">
        <v>3.87</v>
      </c>
      <c r="AV19" s="527">
        <v>3.68</v>
      </c>
      <c r="AW19" s="184"/>
    </row>
    <row r="20" spans="1:50" ht="16">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7">
        <v>16.309999999999999</v>
      </c>
      <c r="AS20" s="527">
        <v>16.100000000000001</v>
      </c>
      <c r="AT20" s="527">
        <v>15.68</v>
      </c>
      <c r="AU20" s="527">
        <v>15.11</v>
      </c>
      <c r="AV20" s="527">
        <v>14.78</v>
      </c>
      <c r="AW20" s="184"/>
    </row>
    <row r="21" spans="1:50" ht="16">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7">
        <v>93.05</v>
      </c>
      <c r="AS21" s="527">
        <v>90.23</v>
      </c>
      <c r="AT21" s="527">
        <v>88.25</v>
      </c>
      <c r="AU21" s="527">
        <v>83.89</v>
      </c>
      <c r="AV21" s="527">
        <v>82.16</v>
      </c>
      <c r="AW21" s="184"/>
    </row>
    <row r="22" spans="1:50" ht="16">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-12.457691999999987</v>
      </c>
      <c r="AS24" s="207" cm="1">
        <f t="array" ref="AS24">(SUM(AS15:AS21)+SUMPRODUCT((AS$26:AS$71)*($AL$76:$AL$121="RPEs Apply")*($AM$76:$AM$121=1))) * (AS$223-1)</f>
        <v>-10.829015999999992</v>
      </c>
      <c r="AT24" s="207" cm="1">
        <f t="array" ref="AT24">(SUM(AT15:AT21)+SUMPRODUCT((AT$26:AT$71)*($AL$76:$AL$121="RPEs Apply")*($AM$76:$AM$121=1))) * (AT$223-1)</f>
        <v>-7.6047660000000095</v>
      </c>
      <c r="AU24" s="207" cm="1">
        <f t="array" ref="AU24">(SUM(AU15:AU21)+SUMPRODUCT((AU$26:AU$71)*($AL$76:$AL$121="RPEs Apply")*($AM$76:$AM$121=1))) * (AU$223-1)</f>
        <v>-5.0506059999999993</v>
      </c>
      <c r="AV24" s="207" cm="1">
        <f t="array" ref="AV24">(SUM(AV15:AV21)+SUMPRODUCT((AV$26:AV$71)*($AL$76:$AL$121="RPEs Apply")*($AM$76:$AM$121=1))) * (AV$223-1)</f>
        <v>-2.8210040000000132</v>
      </c>
      <c r="AW24" s="184"/>
      <c r="AX24" s="258"/>
    </row>
    <row r="25" spans="1:50" ht="16">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-1.1478576020290272</v>
      </c>
      <c r="AS25" s="207" cm="1">
        <f t="array" ref="AS25">SUMPRODUCT((AS$26:AS$71)*($AL$76:$AL$121="RPEs Apply")*($AM$76:$AM$121=2)) * (AS$223-1)</f>
        <v>-1.1548169638989747</v>
      </c>
      <c r="AT25" s="207" cm="1">
        <f t="array" ref="AT25">SUMPRODUCT((AT$26:AT$71)*($AL$76:$AL$121="RPEs Apply")*($AM$76:$AM$121=2)) * (AT$223-1)</f>
        <v>-1.8161834418747058</v>
      </c>
      <c r="AU25" s="207" cm="1">
        <f t="array" ref="AU25">SUMPRODUCT((AU$26:AU$71)*($AL$76:$AL$121="RPEs Apply")*($AM$76:$AM$121=2)) * (AU$223-1)</f>
        <v>-1.0489039676531986</v>
      </c>
      <c r="AV25" s="207" cm="1">
        <f t="array" ref="AV25">SUMPRODUCT((AV$26:AV$71)*($AL$76:$AL$121="RPEs Apply")*($AM$76:$AM$121=2)) * (AV$223-1)</f>
        <v>-0.60234089231570109</v>
      </c>
      <c r="AW25" s="184"/>
      <c r="AX25" s="258"/>
    </row>
    <row r="26" spans="1:50" ht="16">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553">
        <v>0</v>
      </c>
      <c r="AS26" s="553">
        <v>0</v>
      </c>
      <c r="AT26" s="553">
        <v>0</v>
      </c>
      <c r="AU26" s="553">
        <v>0</v>
      </c>
      <c r="AV26" s="553">
        <v>0</v>
      </c>
      <c r="AW26" s="184"/>
      <c r="AX26" s="258"/>
    </row>
    <row r="27" spans="1:50" ht="16">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553">
        <v>0</v>
      </c>
      <c r="AS27" s="553">
        <v>0</v>
      </c>
      <c r="AT27" s="553">
        <v>0</v>
      </c>
      <c r="AU27" s="553">
        <v>0</v>
      </c>
      <c r="AV27" s="553">
        <v>0</v>
      </c>
      <c r="AW27" s="184"/>
      <c r="AX27" s="258"/>
    </row>
    <row r="28" spans="1:50" ht="16">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553">
        <v>0</v>
      </c>
      <c r="AS28" s="553">
        <v>0</v>
      </c>
      <c r="AT28" s="553">
        <v>0</v>
      </c>
      <c r="AU28" s="553">
        <v>0</v>
      </c>
      <c r="AV28" s="553">
        <v>0</v>
      </c>
      <c r="AW28" s="184"/>
      <c r="AX28" s="258"/>
    </row>
    <row r="29" spans="1:50" ht="16">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553">
        <v>0</v>
      </c>
      <c r="AS29" s="553">
        <v>0</v>
      </c>
      <c r="AT29" s="553">
        <v>0</v>
      </c>
      <c r="AU29" s="553">
        <v>0</v>
      </c>
      <c r="AV29" s="553">
        <v>0</v>
      </c>
      <c r="AW29" s="184"/>
      <c r="AX29" s="258"/>
    </row>
    <row r="30" spans="1:50" ht="16">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553">
        <v>0</v>
      </c>
      <c r="AS30" s="553">
        <v>0</v>
      </c>
      <c r="AT30" s="553">
        <v>0</v>
      </c>
      <c r="AU30" s="553">
        <v>0</v>
      </c>
      <c r="AV30" s="553">
        <v>0</v>
      </c>
      <c r="AW30" s="184"/>
      <c r="AX30" s="258"/>
    </row>
    <row r="31" spans="1:50" ht="16">
      <c r="A31" s="82"/>
      <c r="B31" s="82"/>
      <c r="C31" s="82"/>
      <c r="D31" s="82"/>
      <c r="E31" s="82" t="s">
        <v>1322</v>
      </c>
      <c r="F31" s="82"/>
      <c r="G31" s="82" t="s">
        <v>101</v>
      </c>
      <c r="H31" s="556"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553">
        <v>0</v>
      </c>
      <c r="AS31" s="553">
        <v>0</v>
      </c>
      <c r="AT31" s="553">
        <v>8.1054073809727978</v>
      </c>
      <c r="AU31" s="553">
        <v>20.149429349970596</v>
      </c>
      <c r="AV31" s="553">
        <v>22.502297800956807</v>
      </c>
      <c r="AW31" s="184"/>
      <c r="AX31" s="258"/>
    </row>
    <row r="32" spans="1:50" ht="16">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553">
        <v>0</v>
      </c>
      <c r="AS32" s="553">
        <v>0</v>
      </c>
      <c r="AT32" s="553">
        <v>0</v>
      </c>
      <c r="AU32" s="553">
        <v>0</v>
      </c>
      <c r="AV32" s="553">
        <v>0</v>
      </c>
      <c r="AW32" s="184"/>
      <c r="AX32" s="258"/>
    </row>
    <row r="33" spans="1:50" ht="16">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553">
        <v>30.88</v>
      </c>
      <c r="AS33" s="553">
        <v>33.01</v>
      </c>
      <c r="AT33" s="553">
        <v>24.84</v>
      </c>
      <c r="AU33" s="553">
        <v>25.69</v>
      </c>
      <c r="AV33" s="553">
        <v>25.63</v>
      </c>
      <c r="AW33" s="184"/>
      <c r="AX33" s="258"/>
    </row>
    <row r="34" spans="1:50" ht="16">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553">
        <v>13.833050823790558</v>
      </c>
      <c r="AS34" s="553">
        <v>11.953911368002304</v>
      </c>
      <c r="AT34" s="553">
        <v>33.945406348480269</v>
      </c>
      <c r="AU34" s="553">
        <v>33.945406348480269</v>
      </c>
      <c r="AV34" s="553">
        <v>33.945406348480269</v>
      </c>
      <c r="AW34" s="184"/>
      <c r="AX34" s="258"/>
    </row>
    <row r="35" spans="1:50" ht="16">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553">
        <v>8.0245830144365442</v>
      </c>
      <c r="AS35" s="553">
        <v>7.3524851749011155</v>
      </c>
      <c r="AT35" s="553">
        <v>17.980532644252346</v>
      </c>
      <c r="AU35" s="553">
        <v>17.980532644252346</v>
      </c>
      <c r="AV35" s="553">
        <v>17.980532644252346</v>
      </c>
      <c r="AW35" s="184"/>
      <c r="AX35" s="258"/>
    </row>
    <row r="36" spans="1:50" ht="16">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553">
        <v>0</v>
      </c>
      <c r="AS36" s="553">
        <v>0</v>
      </c>
      <c r="AT36" s="553">
        <v>0</v>
      </c>
      <c r="AU36" s="553">
        <v>0</v>
      </c>
      <c r="AV36" s="553">
        <v>1.4460778139692056</v>
      </c>
      <c r="AW36" s="184"/>
    </row>
    <row r="37" spans="1:50" ht="16">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553">
        <v>0</v>
      </c>
      <c r="AS37" s="553">
        <v>0</v>
      </c>
      <c r="AT37" s="553">
        <v>0</v>
      </c>
      <c r="AU37" s="553">
        <v>0</v>
      </c>
      <c r="AV37" s="553">
        <v>0</v>
      </c>
      <c r="AW37" s="184"/>
    </row>
    <row r="38" spans="1:50" ht="16">
      <c r="A38" s="82"/>
      <c r="B38" s="82"/>
      <c r="C38" s="82"/>
      <c r="D38" s="82"/>
      <c r="E38" s="82" t="s">
        <v>1336</v>
      </c>
      <c r="F38" s="82"/>
      <c r="G38" s="82" t="s">
        <v>101</v>
      </c>
      <c r="H38" s="556"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553">
        <v>2.669238</v>
      </c>
      <c r="AS38" s="553">
        <v>9.8556480000000004</v>
      </c>
      <c r="AT38" s="553">
        <v>8.8159821402006155</v>
      </c>
      <c r="AU38" s="553">
        <v>0</v>
      </c>
      <c r="AV38" s="553">
        <v>0</v>
      </c>
      <c r="AW38" s="184"/>
    </row>
    <row r="39" spans="1:50" ht="16">
      <c r="A39" s="82"/>
      <c r="B39" s="82"/>
      <c r="C39" s="82"/>
      <c r="D39" s="82"/>
      <c r="E39" s="82" t="s">
        <v>1338</v>
      </c>
      <c r="F39" s="82"/>
      <c r="G39" s="82" t="s">
        <v>101</v>
      </c>
      <c r="H39" s="556"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553">
        <v>0.24108815658046237</v>
      </c>
      <c r="AS39" s="553">
        <v>2.4612065973080414E-2</v>
      </c>
      <c r="AT39" s="553">
        <v>0.79143325914881901</v>
      </c>
      <c r="AU39" s="553">
        <v>0.79143325914881901</v>
      </c>
      <c r="AV39" s="553">
        <v>0.79143325914881901</v>
      </c>
      <c r="AW39" s="184"/>
    </row>
    <row r="40" spans="1:50" ht="16">
      <c r="A40" s="82"/>
      <c r="B40" s="82"/>
      <c r="C40" s="82"/>
      <c r="D40" s="82"/>
      <c r="E40" s="82" t="s">
        <v>1340</v>
      </c>
      <c r="F40" s="82"/>
      <c r="G40" s="82" t="s">
        <v>101</v>
      </c>
      <c r="H40" s="556"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553">
        <v>1.87</v>
      </c>
      <c r="AS40" s="553">
        <v>1.0900000000000001</v>
      </c>
      <c r="AT40" s="553">
        <v>1.1399999999999999</v>
      </c>
      <c r="AU40" s="553">
        <v>0.04</v>
      </c>
      <c r="AV40" s="553">
        <v>0.04</v>
      </c>
      <c r="AW40" s="184"/>
    </row>
    <row r="41" spans="1:50" ht="16">
      <c r="A41" s="82"/>
      <c r="B41" s="82"/>
      <c r="C41" s="82"/>
      <c r="D41" s="82"/>
      <c r="E41" s="82" t="s">
        <v>1342</v>
      </c>
      <c r="F41" s="82"/>
      <c r="G41" s="82" t="s">
        <v>101</v>
      </c>
      <c r="H41" s="556"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553">
        <v>8.51</v>
      </c>
      <c r="AS41" s="553">
        <v>14.48</v>
      </c>
      <c r="AT41" s="553">
        <v>7.19</v>
      </c>
      <c r="AU41" s="553">
        <v>12.875</v>
      </c>
      <c r="AV41" s="553">
        <v>24.535</v>
      </c>
      <c r="AW41" s="184"/>
    </row>
    <row r="42" spans="1:50" ht="16">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553">
        <v>3.2</v>
      </c>
      <c r="AS42" s="553">
        <v>2.89</v>
      </c>
      <c r="AT42" s="553">
        <v>2.83</v>
      </c>
      <c r="AU42" s="553">
        <v>2.56</v>
      </c>
      <c r="AV42" s="553">
        <v>3.05</v>
      </c>
      <c r="AW42" s="184"/>
    </row>
    <row r="43" spans="1:50" ht="16">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553">
        <v>0</v>
      </c>
      <c r="AS43" s="553">
        <v>0</v>
      </c>
      <c r="AT43" s="553">
        <v>0</v>
      </c>
      <c r="AU43" s="553">
        <v>0</v>
      </c>
      <c r="AV43" s="553">
        <v>0</v>
      </c>
      <c r="AW43" s="184"/>
    </row>
    <row r="44" spans="1:50" ht="16">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552">
        <v>0</v>
      </c>
      <c r="AS44" s="552">
        <v>0</v>
      </c>
      <c r="AT44" s="552">
        <v>0</v>
      </c>
      <c r="AU44" s="552">
        <v>0</v>
      </c>
      <c r="AV44" s="552">
        <v>0</v>
      </c>
      <c r="AW44" s="184"/>
    </row>
    <row r="45" spans="1:50" ht="16">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552">
        <v>0</v>
      </c>
      <c r="AS45" s="552">
        <v>0</v>
      </c>
      <c r="AT45" s="552">
        <v>0</v>
      </c>
      <c r="AU45" s="552">
        <v>0</v>
      </c>
      <c r="AV45" s="552">
        <v>0</v>
      </c>
      <c r="AW45" s="184"/>
    </row>
    <row r="46" spans="1:50" ht="16">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552">
        <v>0</v>
      </c>
      <c r="AS46" s="552">
        <v>0</v>
      </c>
      <c r="AT46" s="552">
        <v>0</v>
      </c>
      <c r="AU46" s="552">
        <v>0</v>
      </c>
      <c r="AV46" s="552">
        <v>0</v>
      </c>
      <c r="AW46" s="184"/>
    </row>
    <row r="47" spans="1:50" ht="16">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552">
        <v>0</v>
      </c>
      <c r="AS47" s="552">
        <v>0</v>
      </c>
      <c r="AT47" s="552">
        <v>0</v>
      </c>
      <c r="AU47" s="552">
        <v>0</v>
      </c>
      <c r="AV47" s="552">
        <v>0</v>
      </c>
      <c r="AW47" s="184"/>
    </row>
    <row r="48" spans="1:50" ht="16">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552">
        <v>0</v>
      </c>
      <c r="AS48" s="552">
        <v>0</v>
      </c>
      <c r="AT48" s="552">
        <v>0</v>
      </c>
      <c r="AU48" s="552">
        <v>0</v>
      </c>
      <c r="AV48" s="552">
        <v>0</v>
      </c>
      <c r="AW48" s="184"/>
    </row>
    <row r="49" spans="1:49" ht="16">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552">
        <v>0</v>
      </c>
      <c r="AS49" s="552">
        <v>0</v>
      </c>
      <c r="AT49" s="552">
        <v>0</v>
      </c>
      <c r="AU49" s="552">
        <v>0</v>
      </c>
      <c r="AV49" s="552">
        <v>0</v>
      </c>
      <c r="AW49" s="184"/>
    </row>
    <row r="50" spans="1:49" ht="16">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553">
        <v>0.51492822278457073</v>
      </c>
      <c r="AS50" s="553">
        <v>0.53100380260168889</v>
      </c>
      <c r="AT50" s="553">
        <v>1.5813559915379136</v>
      </c>
      <c r="AU50" s="553">
        <v>1.5813559915379136</v>
      </c>
      <c r="AV50" s="553">
        <v>1.5813559915379136</v>
      </c>
      <c r="AW50" s="184"/>
    </row>
    <row r="51" spans="1:49" ht="16">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553">
        <v>0.17405126829873918</v>
      </c>
      <c r="AS51" s="553">
        <v>0.27462705114067132</v>
      </c>
      <c r="AT51" s="553">
        <v>0.54710722685352975</v>
      </c>
      <c r="AU51" s="553">
        <v>0.54710722685352975</v>
      </c>
      <c r="AV51" s="553">
        <v>0.54710722685352975</v>
      </c>
      <c r="AW51" s="184"/>
    </row>
    <row r="52" spans="1:49" ht="16">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553">
        <v>0.25</v>
      </c>
      <c r="AS52" s="553">
        <v>0.19</v>
      </c>
      <c r="AT52" s="553">
        <v>0.2</v>
      </c>
      <c r="AU52" s="553">
        <v>0</v>
      </c>
      <c r="AV52" s="553">
        <v>0</v>
      </c>
      <c r="AW52" s="184"/>
    </row>
    <row r="53" spans="1:49" ht="16">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553">
        <v>0</v>
      </c>
      <c r="AS53" s="553">
        <v>0</v>
      </c>
      <c r="AT53" s="553">
        <v>0</v>
      </c>
      <c r="AU53" s="553">
        <v>2.9585704615345816</v>
      </c>
      <c r="AV53" s="553">
        <v>2.9585704615345816</v>
      </c>
      <c r="AW53" s="184"/>
    </row>
    <row r="54" spans="1:49" ht="16">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553">
        <v>2.3606244545285269</v>
      </c>
      <c r="AS54" s="553">
        <v>2.0850908266335693</v>
      </c>
      <c r="AT54" s="553">
        <v>5.6080014112151222</v>
      </c>
      <c r="AU54" s="553">
        <v>5.6080014112151222</v>
      </c>
      <c r="AV54" s="553">
        <v>5.764177815123797</v>
      </c>
      <c r="AW54" s="184"/>
    </row>
    <row r="55" spans="1:49" ht="16">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552">
        <v>0</v>
      </c>
      <c r="AS55" s="552">
        <v>0</v>
      </c>
      <c r="AT55" s="552">
        <v>0</v>
      </c>
      <c r="AU55" s="552">
        <v>0</v>
      </c>
      <c r="AV55" s="552">
        <v>0</v>
      </c>
      <c r="AW55" s="184"/>
    </row>
    <row r="56" spans="1:49" ht="16">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552">
        <v>0</v>
      </c>
      <c r="AS56" s="552">
        <v>0</v>
      </c>
      <c r="AT56" s="552">
        <v>0</v>
      </c>
      <c r="AU56" s="552">
        <v>0</v>
      </c>
      <c r="AV56" s="552">
        <v>0</v>
      </c>
      <c r="AW56" s="184"/>
    </row>
    <row r="57" spans="1:49" ht="16">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552">
        <v>0</v>
      </c>
      <c r="AS57" s="552">
        <v>0</v>
      </c>
      <c r="AT57" s="552">
        <v>0</v>
      </c>
      <c r="AU57" s="552">
        <v>0</v>
      </c>
      <c r="AV57" s="552">
        <v>0</v>
      </c>
      <c r="AW57" s="184"/>
    </row>
    <row r="58" spans="1:49" ht="16">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553">
        <v>0</v>
      </c>
      <c r="AS58" s="553">
        <v>3.5123099999999998</v>
      </c>
      <c r="AT58" s="553">
        <v>2.661845</v>
      </c>
      <c r="AU58" s="553">
        <v>2.308405</v>
      </c>
      <c r="AV58" s="553">
        <v>2.3415400000000002</v>
      </c>
      <c r="AW58" s="184"/>
    </row>
    <row r="59" spans="1:49" ht="16">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553">
        <v>0</v>
      </c>
      <c r="AS59" s="553">
        <v>0</v>
      </c>
      <c r="AT59" s="553">
        <v>0</v>
      </c>
      <c r="AU59" s="553">
        <v>0</v>
      </c>
      <c r="AV59" s="553">
        <v>0</v>
      </c>
      <c r="AW59" s="184"/>
    </row>
    <row r="60" spans="1:49" ht="16">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553">
        <v>0</v>
      </c>
      <c r="AS60" s="553">
        <v>0</v>
      </c>
      <c r="AT60" s="553">
        <v>0</v>
      </c>
      <c r="AU60" s="553">
        <v>0</v>
      </c>
      <c r="AV60" s="553">
        <v>0</v>
      </c>
      <c r="AW60" s="184"/>
    </row>
    <row r="61" spans="1:49" ht="16">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553">
        <v>3.6337127212547649</v>
      </c>
      <c r="AS61" s="553">
        <v>4.9495053386508427E-2</v>
      </c>
      <c r="AT61" s="553">
        <v>0</v>
      </c>
      <c r="AU61" s="553">
        <v>0</v>
      </c>
      <c r="AV61" s="553">
        <v>0</v>
      </c>
      <c r="AW61" s="184"/>
    </row>
    <row r="62" spans="1:49" ht="16">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553">
        <v>0</v>
      </c>
      <c r="AS62" s="553">
        <v>8.0709906704187411</v>
      </c>
      <c r="AT62" s="553">
        <v>0</v>
      </c>
      <c r="AU62" s="553">
        <v>0</v>
      </c>
      <c r="AV62" s="553">
        <v>0</v>
      </c>
      <c r="AW62" s="184"/>
    </row>
    <row r="63" spans="1:49" ht="16">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553">
        <v>0</v>
      </c>
      <c r="AS63" s="553">
        <v>0</v>
      </c>
      <c r="AT63" s="553">
        <v>0</v>
      </c>
      <c r="AU63" s="553">
        <v>0</v>
      </c>
      <c r="AV63" s="553">
        <v>0</v>
      </c>
      <c r="AW63" s="184"/>
    </row>
    <row r="64" spans="1:49" ht="16">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552">
        <v>0</v>
      </c>
      <c r="AS64" s="552">
        <v>0</v>
      </c>
      <c r="AT64" s="552">
        <v>0</v>
      </c>
      <c r="AU64" s="552">
        <v>0</v>
      </c>
      <c r="AV64" s="552">
        <v>0</v>
      </c>
      <c r="AW64" s="184"/>
    </row>
    <row r="65" spans="1:49" ht="16">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552">
        <v>0</v>
      </c>
      <c r="AS65" s="552">
        <v>0</v>
      </c>
      <c r="AT65" s="552">
        <v>0</v>
      </c>
      <c r="AU65" s="552">
        <v>0</v>
      </c>
      <c r="AV65" s="552">
        <v>0</v>
      </c>
      <c r="AW65" s="184"/>
    </row>
    <row r="66" spans="1:49" ht="16">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552">
        <v>0</v>
      </c>
      <c r="AS66" s="552">
        <v>0</v>
      </c>
      <c r="AT66" s="552">
        <v>0</v>
      </c>
      <c r="AU66" s="552">
        <v>0</v>
      </c>
      <c r="AV66" s="552">
        <v>0</v>
      </c>
      <c r="AW66" s="184"/>
    </row>
    <row r="67" spans="1:49" ht="16">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552">
        <v>0</v>
      </c>
      <c r="AS67" s="552">
        <v>0</v>
      </c>
      <c r="AT67" s="552">
        <v>0</v>
      </c>
      <c r="AU67" s="552">
        <v>0</v>
      </c>
      <c r="AV67" s="552">
        <v>0</v>
      </c>
      <c r="AW67" s="184"/>
    </row>
    <row r="68" spans="1:49" ht="16">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552">
        <v>0</v>
      </c>
      <c r="AS68" s="552">
        <v>0</v>
      </c>
      <c r="AT68" s="552">
        <v>0</v>
      </c>
      <c r="AU68" s="552">
        <v>0</v>
      </c>
      <c r="AV68" s="552">
        <v>0</v>
      </c>
      <c r="AW68" s="184"/>
    </row>
    <row r="69" spans="1:49" ht="16">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552">
        <v>0</v>
      </c>
      <c r="AS69" s="552">
        <v>0</v>
      </c>
      <c r="AT69" s="552">
        <v>0</v>
      </c>
      <c r="AU69" s="552">
        <v>0</v>
      </c>
      <c r="AV69" s="552">
        <v>0</v>
      </c>
      <c r="AW69" s="184"/>
    </row>
    <row r="70" spans="1:49" ht="16">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552">
        <v>0</v>
      </c>
      <c r="AS70" s="552">
        <v>0</v>
      </c>
      <c r="AT70" s="552">
        <v>0</v>
      </c>
      <c r="AU70" s="552">
        <v>0</v>
      </c>
      <c r="AV70" s="552">
        <v>0</v>
      </c>
      <c r="AW70" s="184"/>
    </row>
    <row r="71" spans="1:49" ht="16">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552">
        <v>0</v>
      </c>
      <c r="AS71" s="552">
        <v>0</v>
      </c>
      <c r="AT71" s="552">
        <v>0</v>
      </c>
      <c r="AU71" s="552">
        <v>0</v>
      </c>
      <c r="AV71" s="552">
        <v>0</v>
      </c>
      <c r="AW71" s="184"/>
    </row>
    <row r="72" spans="1:49" ht="16">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4" t="s">
        <v>112</v>
      </c>
      <c r="AK73" s="494"/>
      <c r="AL73" s="494" t="s">
        <v>113</v>
      </c>
      <c r="AM73" s="494" t="s">
        <v>114</v>
      </c>
      <c r="AN73" s="494"/>
      <c r="AO73" s="494" t="s">
        <v>115</v>
      </c>
      <c r="AP73" s="494" t="s">
        <v>116</v>
      </c>
      <c r="AQ73" s="495" t="s">
        <v>117</v>
      </c>
      <c r="AR73" s="496" t="s">
        <v>118</v>
      </c>
      <c r="AS73" s="494" t="s">
        <v>119</v>
      </c>
      <c r="AT73" s="494" t="s">
        <v>120</v>
      </c>
      <c r="AU73" s="494" t="s">
        <v>121</v>
      </c>
      <c r="AV73" s="494" t="s">
        <v>17</v>
      </c>
      <c r="AW73" s="184"/>
    </row>
    <row r="74" spans="1:49" ht="16">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7">
        <v>1</v>
      </c>
      <c r="AN74" s="321"/>
      <c r="AO74" s="263" cm="1">
        <f t="array" ref="AO74">(SUMPRODUCT((AO$76:AO$121)*(($AR$26:$AR$71)+($AS$26:$AS$71)+($AT$26:$AT$71)+($AU$26:$AU$71)+($AV$26:$AV$71))*($AL$76:$AL$121="RPEs Apply")*($AM$76:$AM$121=1))+SUM($AR$15:$AV$15))/(SUMPRODUCT((($AR$26:$AR$71)+($AS$26:$AS$71)+($AT$26:$AT$71)+($AU$26:$AU$71)+($AV$26:$AV$71))*($AM$76:$AM$121=1)*($AL$76:$AL$121="RPEs Apply"))+SUM($AR$15:$AV$21))</f>
        <v>8.9402661570373146E-2</v>
      </c>
      <c r="AP74" s="263" cm="1">
        <f t="array" ref="AP74">(SUMPRODUCT((AP$76:AP$121)*(($AR$26:$AR$71)+($AS$26:$AS$71)+($AT$26:$AT$71)+($AU$26:$AU$71)+($AV$26:$AV$71))*($AL$76:$AL$121="RPEs Apply")*($AM$76:$AM$121=1))+SUM($AR$16:$AV$16))/(SUMPRODUCT((($AR$26:$AR$71)+($AS$26:$AS$71)+($AT$26:$AT$71)+($AU$26:$AU$71)+($AV$26:$AV$71))*($AM$76:$AM$121=1)*($AL$76:$AL$121="RPEs Apply"))+SUM($AR$15:$AV$21))</f>
        <v>0.27669921768786754</v>
      </c>
      <c r="AQ74" s="493" cm="1">
        <f t="array" ref="AQ74">(SUMPRODUCT((AQ$76:AQ$121)*(($AR$26:$AR$71)+($AS$26:$AS$71)+($AT$26:$AT$71)+($AU$26:$AU$71)+($AV$26:$AV$71))*($AL$76:$AL$121="RPEs Apply")*($AM$76:$AM$121=1))+SUM($AR$17:$AV$17))/(SUMPRODUCT((($AR$26:$AR$71)+($AS$26:$AS$71)+($AT$26:$AT$71)+($AU$26:$AU$71)+($AV$26:$AV$71))*($AM$76:$AM$121=1)*($AL$76:$AL$121="RPEs Apply"))+SUM($AR$15:$AV$21))</f>
        <v>0.12274609426589289</v>
      </c>
      <c r="AR74" s="263" cm="1">
        <f t="array" ref="AR74">(SUMPRODUCT((AR$76:AR$121)*(($AR$26:$AR$71)+($AS$26:$AS$71)+($AT$26:$AT$71)+($AU$26:$AU$71)+($AV$26:$AV$71))*($AL$76:$AL$121="RPEs Apply")*($AM$76:$AM$121=1))+SUM($AR$18:$AV$18))/(SUMPRODUCT((($AR$26:$AR$71)+($AS$26:$AS$71)+($AT$26:$AT$71)+($AU$26:$AU$71)+($AV$26:$AV$71))*($AM$76:$AM$121=1)*($AL$76:$AL$121="RPEs Apply"))+SUM($AR$15:$AV$21))</f>
        <v>9.5306904079365456E-2</v>
      </c>
      <c r="AS74" s="263" cm="1">
        <f t="array" ref="AS74">(SUMPRODUCT((AS$76:AS$121)*(($AR$26:$AR$71)+($AS$26:$AS$71)+($AT$26:$AT$71)+($AU$26:$AU$71)+($AV$26:$AV$71))*($AL$76:$AL$121="RPEs Apply")*($AM$76:$AM$121=1))+SUM($AR$19:$AV$19))/(SUMPRODUCT((($AR$26:$AR$71)+($AS$26:$AS$71)+($AT$26:$AT$71)+($AU$26:$AU$71)+($AV$26:$AV$71))*($AM$76:$AM$121=1)*($AL$76:$AL$121="RPEs Apply"))+SUM($AR$15:$AV$21))</f>
        <v>1.482275619362808E-2</v>
      </c>
      <c r="AT74" s="263" cm="1">
        <f t="array" ref="AT74">(SUMPRODUCT((AT$76:AT$121)*(($AR$26:$AR$71)+($AS$26:$AS$71)+($AT$26:$AT$71)+($AU$26:$AU$71)+($AV$26:$AV$71))*($AL$76:$AL$121="RPEs Apply")*($AM$76:$AM$121=1))+SUM($AR$20:$AV$20))/(SUMPRODUCT((($AR$26:$AR$71)+($AS$26:$AS$71)+($AT$26:$AT$71)+($AU$26:$AU$71)+($AV$26:$AV$71))*($AM$76:$AM$121=1)*($AL$76:$AL$121="RPEs Apply"))+SUM($AR$15:$AV$21))</f>
        <v>6.0580635638318524E-2</v>
      </c>
      <c r="AU74" s="263" cm="1">
        <f t="array" ref="AU74">(SUMPRODUCT((AU$76:AU$121)*(($AR$26:$AR$71)+($AS$26:$AS$71)+($AT$26:$AT$71)+($AU$26:$AU$71)+($AV$26:$AV$71))*($AL$76:$AL$121="RPEs Apply")*($AM$76:$AM$121=1))+SUM($AR$21:$AV$21))/(SUMPRODUCT((($AR$26:$AR$71)+($AS$26:$AS$71)+($AT$26:$AT$71)+($AU$26:$AU$71)+($AV$26:$AV$71))*($AM$76:$AM$121=1)*($AL$76:$AL$121="RPEs Apply"))+SUM($AR$15:$AV$21))</f>
        <v>0.34044173056455429</v>
      </c>
      <c r="AV74" s="263">
        <f>SUM(AO74:AU74)</f>
        <v>0.99999999999999989</v>
      </c>
      <c r="AW74" s="184"/>
    </row>
    <row r="75" spans="1:49" ht="16">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7">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0.9022328996990755</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9.7767100300924489E-2</v>
      </c>
      <c r="AQ75" s="493"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6">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7">
        <v>2</v>
      </c>
      <c r="AN76" s="321"/>
      <c r="AO76" s="410">
        <v>0</v>
      </c>
      <c r="AP76" s="410">
        <v>1</v>
      </c>
      <c r="AQ76" s="456">
        <v>0</v>
      </c>
      <c r="AR76" s="410">
        <v>0</v>
      </c>
      <c r="AS76" s="410">
        <v>0</v>
      </c>
      <c r="AT76" s="410">
        <v>0</v>
      </c>
      <c r="AU76" s="410">
        <v>0</v>
      </c>
      <c r="AV76" s="263">
        <f t="shared" si="0"/>
        <v>1</v>
      </c>
      <c r="AW76" s="184"/>
    </row>
    <row r="77" spans="1:49" ht="16">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7">
        <v>2</v>
      </c>
      <c r="AN77" s="321"/>
      <c r="AO77" s="410">
        <v>0</v>
      </c>
      <c r="AP77" s="410">
        <v>0</v>
      </c>
      <c r="AQ77" s="456">
        <v>0</v>
      </c>
      <c r="AR77" s="410">
        <v>0</v>
      </c>
      <c r="AS77" s="410">
        <v>0</v>
      </c>
      <c r="AT77" s="410">
        <v>0</v>
      </c>
      <c r="AU77" s="410">
        <v>1</v>
      </c>
      <c r="AV77" s="263">
        <f t="shared" si="0"/>
        <v>1</v>
      </c>
      <c r="AW77" s="184"/>
    </row>
    <row r="78" spans="1:49" ht="16">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7">
        <v>2</v>
      </c>
      <c r="AN78" s="321"/>
      <c r="AO78" s="410">
        <v>0</v>
      </c>
      <c r="AP78" s="410">
        <v>1</v>
      </c>
      <c r="AQ78" s="456">
        <v>0</v>
      </c>
      <c r="AR78" s="410">
        <v>0</v>
      </c>
      <c r="AS78" s="410">
        <v>0</v>
      </c>
      <c r="AT78" s="410">
        <v>0</v>
      </c>
      <c r="AU78" s="410">
        <v>0</v>
      </c>
      <c r="AV78" s="263">
        <f t="shared" si="0"/>
        <v>1</v>
      </c>
      <c r="AW78" s="184"/>
    </row>
    <row r="79" spans="1:49" ht="16">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7">
        <v>2</v>
      </c>
      <c r="AN79" s="321"/>
      <c r="AO79" s="410">
        <v>1</v>
      </c>
      <c r="AP79" s="410">
        <v>0</v>
      </c>
      <c r="AQ79" s="456">
        <v>0</v>
      </c>
      <c r="AR79" s="410">
        <v>0</v>
      </c>
      <c r="AS79" s="410">
        <v>0</v>
      </c>
      <c r="AT79" s="410">
        <v>0</v>
      </c>
      <c r="AU79" s="410">
        <v>0</v>
      </c>
      <c r="AV79" s="263">
        <f t="shared" si="0"/>
        <v>1</v>
      </c>
      <c r="AW79" s="184"/>
    </row>
    <row r="80" spans="1:49" ht="16">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7">
        <v>2</v>
      </c>
      <c r="AN80" s="321"/>
      <c r="AO80" s="410">
        <v>0</v>
      </c>
      <c r="AP80" s="410">
        <v>0</v>
      </c>
      <c r="AQ80" s="456">
        <v>1</v>
      </c>
      <c r="AR80" s="410">
        <v>0</v>
      </c>
      <c r="AS80" s="410">
        <v>0</v>
      </c>
      <c r="AT80" s="410">
        <v>0</v>
      </c>
      <c r="AU80" s="410">
        <v>0</v>
      </c>
      <c r="AV80" s="263">
        <f t="shared" si="0"/>
        <v>1</v>
      </c>
      <c r="AW80" s="184"/>
    </row>
    <row r="81" spans="1:49" ht="16">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7">
        <v>2</v>
      </c>
      <c r="AN81" s="321"/>
      <c r="AO81" s="410">
        <v>0</v>
      </c>
      <c r="AP81" s="410">
        <v>1</v>
      </c>
      <c r="AQ81" s="456">
        <v>0</v>
      </c>
      <c r="AR81" s="410">
        <v>0</v>
      </c>
      <c r="AS81" s="410">
        <v>0</v>
      </c>
      <c r="AT81" s="410">
        <v>0</v>
      </c>
      <c r="AU81" s="410">
        <v>0</v>
      </c>
      <c r="AV81" s="263">
        <f t="shared" si="0"/>
        <v>1</v>
      </c>
      <c r="AW81" s="184"/>
    </row>
    <row r="82" spans="1:49" ht="16">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7">
        <v>2</v>
      </c>
      <c r="AN82" s="321"/>
      <c r="AO82" s="410">
        <v>0</v>
      </c>
      <c r="AP82" s="410">
        <v>1</v>
      </c>
      <c r="AQ82" s="456">
        <v>0</v>
      </c>
      <c r="AR82" s="410">
        <v>0</v>
      </c>
      <c r="AS82" s="410">
        <v>0</v>
      </c>
      <c r="AT82" s="410">
        <v>0</v>
      </c>
      <c r="AU82" s="410">
        <v>0</v>
      </c>
      <c r="AV82" s="263">
        <f t="shared" si="0"/>
        <v>1</v>
      </c>
      <c r="AW82" s="184"/>
    </row>
    <row r="83" spans="1:49" ht="16">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7">
        <v>1</v>
      </c>
      <c r="AN83" s="321"/>
      <c r="AO83" s="410">
        <v>0</v>
      </c>
      <c r="AP83" s="410">
        <v>1</v>
      </c>
      <c r="AQ83" s="456">
        <v>0</v>
      </c>
      <c r="AR83" s="410">
        <v>0</v>
      </c>
      <c r="AS83" s="410">
        <v>0</v>
      </c>
      <c r="AT83" s="410">
        <v>0</v>
      </c>
      <c r="AU83" s="410">
        <v>0</v>
      </c>
      <c r="AV83" s="263">
        <f t="shared" si="0"/>
        <v>1</v>
      </c>
      <c r="AW83" s="184"/>
    </row>
    <row r="84" spans="1:49" ht="16">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7">
        <v>2</v>
      </c>
      <c r="AN84" s="321"/>
      <c r="AO84" s="410">
        <v>1</v>
      </c>
      <c r="AP84" s="410">
        <v>0</v>
      </c>
      <c r="AQ84" s="456">
        <v>0</v>
      </c>
      <c r="AR84" s="410">
        <v>0</v>
      </c>
      <c r="AS84" s="410">
        <v>0</v>
      </c>
      <c r="AT84" s="410">
        <v>0</v>
      </c>
      <c r="AU84" s="410">
        <v>0</v>
      </c>
      <c r="AV84" s="263">
        <f t="shared" si="0"/>
        <v>1</v>
      </c>
      <c r="AW84" s="184"/>
    </row>
    <row r="85" spans="1:49" ht="16">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7">
        <v>2</v>
      </c>
      <c r="AN85" s="321"/>
      <c r="AO85" s="410">
        <v>1</v>
      </c>
      <c r="AP85" s="410">
        <v>0</v>
      </c>
      <c r="AQ85" s="456">
        <v>0</v>
      </c>
      <c r="AR85" s="410">
        <v>0</v>
      </c>
      <c r="AS85" s="410">
        <v>0</v>
      </c>
      <c r="AT85" s="410">
        <v>0</v>
      </c>
      <c r="AU85" s="410">
        <v>0</v>
      </c>
      <c r="AV85" s="263">
        <f t="shared" si="0"/>
        <v>1</v>
      </c>
      <c r="AW85" s="184"/>
    </row>
    <row r="86" spans="1:49" ht="16">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7">
        <v>2</v>
      </c>
      <c r="AN86" s="321"/>
      <c r="AO86" s="410">
        <v>1</v>
      </c>
      <c r="AP86" s="410">
        <v>0</v>
      </c>
      <c r="AQ86" s="456">
        <v>0</v>
      </c>
      <c r="AR86" s="410">
        <v>0</v>
      </c>
      <c r="AS86" s="410">
        <v>0</v>
      </c>
      <c r="AT86" s="410">
        <v>0</v>
      </c>
      <c r="AU86" s="410">
        <v>0</v>
      </c>
      <c r="AV86" s="263">
        <f t="shared" si="0"/>
        <v>1</v>
      </c>
      <c r="AW86" s="184"/>
    </row>
    <row r="87" spans="1:49" ht="16">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7">
        <v>2</v>
      </c>
      <c r="AN87" s="321"/>
      <c r="AO87" s="410">
        <v>0</v>
      </c>
      <c r="AP87" s="410">
        <v>0</v>
      </c>
      <c r="AQ87" s="456">
        <v>0.5</v>
      </c>
      <c r="AR87" s="410">
        <v>0</v>
      </c>
      <c r="AS87" s="410">
        <v>0</v>
      </c>
      <c r="AT87" s="410">
        <v>0</v>
      </c>
      <c r="AU87" s="410">
        <v>0.5</v>
      </c>
      <c r="AV87" s="263">
        <f t="shared" si="0"/>
        <v>1</v>
      </c>
      <c r="AW87" s="184"/>
    </row>
    <row r="88" spans="1:49" ht="16">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7">
        <v>2</v>
      </c>
      <c r="AN88" s="321"/>
      <c r="AO88" s="410">
        <v>0</v>
      </c>
      <c r="AP88" s="410">
        <v>1</v>
      </c>
      <c r="AQ88" s="456">
        <v>0</v>
      </c>
      <c r="AR88" s="410">
        <v>0</v>
      </c>
      <c r="AS88" s="410">
        <v>0</v>
      </c>
      <c r="AT88" s="410">
        <v>0</v>
      </c>
      <c r="AU88" s="410">
        <v>0</v>
      </c>
      <c r="AV88" s="263">
        <f t="shared" si="0"/>
        <v>1</v>
      </c>
      <c r="AW88" s="184"/>
    </row>
    <row r="89" spans="1:49" ht="16">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7">
        <v>1</v>
      </c>
      <c r="AN89" s="321"/>
      <c r="AO89" s="410">
        <v>0</v>
      </c>
      <c r="AP89" s="410">
        <v>0</v>
      </c>
      <c r="AQ89" s="456">
        <v>1</v>
      </c>
      <c r="AR89" s="410">
        <v>0</v>
      </c>
      <c r="AS89" s="410">
        <v>0</v>
      </c>
      <c r="AT89" s="410">
        <v>0</v>
      </c>
      <c r="AU89" s="410">
        <v>0</v>
      </c>
      <c r="AV89" s="263">
        <f t="shared" si="0"/>
        <v>1</v>
      </c>
      <c r="AW89" s="184"/>
    </row>
    <row r="90" spans="1:49" ht="16">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7">
        <v>1</v>
      </c>
      <c r="AN90" s="321"/>
      <c r="AO90" s="410">
        <v>0</v>
      </c>
      <c r="AP90" s="410">
        <v>0</v>
      </c>
      <c r="AQ90" s="456">
        <v>1</v>
      </c>
      <c r="AR90" s="410">
        <v>0</v>
      </c>
      <c r="AS90" s="410">
        <v>0</v>
      </c>
      <c r="AT90" s="410">
        <v>0</v>
      </c>
      <c r="AU90" s="410">
        <v>0</v>
      </c>
      <c r="AV90" s="263">
        <f t="shared" si="0"/>
        <v>1</v>
      </c>
      <c r="AW90" s="184"/>
    </row>
    <row r="91" spans="1:49" ht="16">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7">
        <v>2</v>
      </c>
      <c r="AN91" s="321"/>
      <c r="AO91" s="410">
        <v>0</v>
      </c>
      <c r="AP91" s="410">
        <v>0</v>
      </c>
      <c r="AQ91" s="456">
        <v>1</v>
      </c>
      <c r="AR91" s="410">
        <v>0</v>
      </c>
      <c r="AS91" s="410">
        <v>0</v>
      </c>
      <c r="AT91" s="410">
        <v>0</v>
      </c>
      <c r="AU91" s="410">
        <v>0</v>
      </c>
      <c r="AV91" s="263">
        <f t="shared" si="0"/>
        <v>1</v>
      </c>
      <c r="AW91" s="184"/>
    </row>
    <row r="92" spans="1:49" ht="16">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7">
        <v>2</v>
      </c>
      <c r="AN92" s="321"/>
      <c r="AO92" s="410">
        <v>0</v>
      </c>
      <c r="AP92" s="410">
        <v>0</v>
      </c>
      <c r="AQ92" s="456">
        <v>0</v>
      </c>
      <c r="AR92" s="410">
        <v>0</v>
      </c>
      <c r="AS92" s="410">
        <v>0</v>
      </c>
      <c r="AT92" s="410">
        <v>0</v>
      </c>
      <c r="AU92" s="410">
        <v>1</v>
      </c>
      <c r="AV92" s="263">
        <f t="shared" si="0"/>
        <v>1</v>
      </c>
      <c r="AW92" s="184"/>
    </row>
    <row r="93" spans="1:49" ht="16">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7">
        <v>1</v>
      </c>
      <c r="AN93" s="321"/>
      <c r="AO93" s="410">
        <v>1</v>
      </c>
      <c r="AP93" s="410">
        <v>0</v>
      </c>
      <c r="AQ93" s="456">
        <v>0</v>
      </c>
      <c r="AR93" s="410">
        <v>0</v>
      </c>
      <c r="AS93" s="410">
        <v>0</v>
      </c>
      <c r="AT93" s="410">
        <v>0</v>
      </c>
      <c r="AU93" s="410">
        <v>0</v>
      </c>
      <c r="AV93" s="263">
        <f t="shared" si="0"/>
        <v>1</v>
      </c>
      <c r="AW93" s="184"/>
    </row>
    <row r="94" spans="1:49" ht="16">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7">
        <v>2</v>
      </c>
      <c r="AN94" s="321"/>
      <c r="AO94" s="410">
        <v>0</v>
      </c>
      <c r="AP94" s="410">
        <v>0</v>
      </c>
      <c r="AQ94" s="456">
        <v>0.9</v>
      </c>
      <c r="AR94" s="410">
        <v>0</v>
      </c>
      <c r="AS94" s="410">
        <v>0</v>
      </c>
      <c r="AT94" s="410">
        <v>0</v>
      </c>
      <c r="AU94" s="410">
        <v>0.1</v>
      </c>
      <c r="AV94" s="263">
        <f t="shared" si="0"/>
        <v>1</v>
      </c>
      <c r="AW94" s="184"/>
    </row>
    <row r="95" spans="1:49" ht="16">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7">
        <v>2</v>
      </c>
      <c r="AN95" s="321"/>
      <c r="AO95" s="410">
        <v>0</v>
      </c>
      <c r="AP95" s="410">
        <v>0</v>
      </c>
      <c r="AQ95" s="456">
        <v>1</v>
      </c>
      <c r="AR95" s="410">
        <v>0</v>
      </c>
      <c r="AS95" s="410">
        <v>0</v>
      </c>
      <c r="AT95" s="410">
        <v>0</v>
      </c>
      <c r="AU95" s="410">
        <v>0</v>
      </c>
      <c r="AV95" s="263">
        <f t="shared" si="0"/>
        <v>1</v>
      </c>
      <c r="AW95" s="184"/>
    </row>
    <row r="96" spans="1:49" ht="16">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7">
        <v>2</v>
      </c>
      <c r="AN96" s="321"/>
      <c r="AO96" s="410">
        <v>0</v>
      </c>
      <c r="AP96" s="410">
        <v>0</v>
      </c>
      <c r="AQ96" s="456">
        <v>0</v>
      </c>
      <c r="AR96" s="410">
        <v>0</v>
      </c>
      <c r="AS96" s="410">
        <v>0</v>
      </c>
      <c r="AT96" s="410">
        <v>0</v>
      </c>
      <c r="AU96" s="410">
        <v>1</v>
      </c>
      <c r="AV96" s="263">
        <f t="shared" si="0"/>
        <v>1</v>
      </c>
      <c r="AW96" s="184"/>
    </row>
    <row r="97" spans="1:49" ht="16">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7">
        <v>2</v>
      </c>
      <c r="AN97" s="321"/>
      <c r="AO97" s="410">
        <v>0</v>
      </c>
      <c r="AP97" s="410">
        <v>1</v>
      </c>
      <c r="AQ97" s="456">
        <v>0</v>
      </c>
      <c r="AR97" s="410">
        <v>0</v>
      </c>
      <c r="AS97" s="410">
        <v>0</v>
      </c>
      <c r="AT97" s="410">
        <v>0</v>
      </c>
      <c r="AU97" s="410">
        <v>0</v>
      </c>
      <c r="AV97" s="263">
        <f t="shared" si="0"/>
        <v>1</v>
      </c>
      <c r="AW97" s="184"/>
    </row>
    <row r="98" spans="1:49" ht="16">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7">
        <v>2</v>
      </c>
      <c r="AN98" s="321"/>
      <c r="AO98" s="410">
        <v>0</v>
      </c>
      <c r="AP98" s="410">
        <v>1</v>
      </c>
      <c r="AQ98" s="456">
        <v>0</v>
      </c>
      <c r="AR98" s="410">
        <v>0</v>
      </c>
      <c r="AS98" s="410">
        <v>0</v>
      </c>
      <c r="AT98" s="410">
        <v>0</v>
      </c>
      <c r="AU98" s="410">
        <v>0</v>
      </c>
      <c r="AV98" s="263">
        <f t="shared" si="0"/>
        <v>1</v>
      </c>
      <c r="AW98" s="184"/>
    </row>
    <row r="99" spans="1:49" ht="16">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7">
        <v>1</v>
      </c>
      <c r="AN99" s="321"/>
      <c r="AO99" s="410">
        <v>1</v>
      </c>
      <c r="AP99" s="410">
        <v>0</v>
      </c>
      <c r="AQ99" s="456">
        <v>0</v>
      </c>
      <c r="AR99" s="410">
        <v>0</v>
      </c>
      <c r="AS99" s="410">
        <v>0</v>
      </c>
      <c r="AT99" s="410">
        <v>0</v>
      </c>
      <c r="AU99" s="410">
        <v>0</v>
      </c>
      <c r="AV99" s="263">
        <f t="shared" si="0"/>
        <v>1</v>
      </c>
      <c r="AW99" s="184"/>
    </row>
    <row r="100" spans="1:49" ht="16">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7">
        <v>1</v>
      </c>
      <c r="AN100" s="321"/>
      <c r="AO100" s="410">
        <v>0</v>
      </c>
      <c r="AP100" s="410">
        <v>0</v>
      </c>
      <c r="AQ100" s="456">
        <v>1</v>
      </c>
      <c r="AR100" s="410">
        <v>0</v>
      </c>
      <c r="AS100" s="410">
        <v>0</v>
      </c>
      <c r="AT100" s="410">
        <v>0</v>
      </c>
      <c r="AU100" s="410">
        <v>0</v>
      </c>
      <c r="AV100" s="263">
        <f t="shared" si="0"/>
        <v>1</v>
      </c>
      <c r="AW100" s="184"/>
    </row>
    <row r="101" spans="1:49" ht="16">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7">
        <v>1</v>
      </c>
      <c r="AN101" s="321"/>
      <c r="AO101" s="410">
        <v>0</v>
      </c>
      <c r="AP101" s="410">
        <v>0</v>
      </c>
      <c r="AQ101" s="456">
        <v>0</v>
      </c>
      <c r="AR101" s="410">
        <v>0</v>
      </c>
      <c r="AS101" s="410">
        <v>0</v>
      </c>
      <c r="AT101" s="410">
        <v>0</v>
      </c>
      <c r="AU101" s="410">
        <v>1</v>
      </c>
      <c r="AV101" s="263">
        <f t="shared" si="0"/>
        <v>1</v>
      </c>
      <c r="AW101" s="184"/>
    </row>
    <row r="102" spans="1:49" ht="16">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7">
        <v>1</v>
      </c>
      <c r="AN102" s="321"/>
      <c r="AO102" s="410">
        <v>0</v>
      </c>
      <c r="AP102" s="410">
        <v>0</v>
      </c>
      <c r="AQ102" s="456">
        <v>0</v>
      </c>
      <c r="AR102" s="410">
        <v>0</v>
      </c>
      <c r="AS102" s="410">
        <v>0</v>
      </c>
      <c r="AT102" s="410">
        <v>0</v>
      </c>
      <c r="AU102" s="410">
        <v>1</v>
      </c>
      <c r="AV102" s="263">
        <f t="shared" si="0"/>
        <v>1</v>
      </c>
      <c r="AW102" s="184"/>
    </row>
    <row r="103" spans="1:49" ht="16">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7">
        <v>2</v>
      </c>
      <c r="AN103" s="321"/>
      <c r="AO103" s="410">
        <v>0</v>
      </c>
      <c r="AP103" s="410">
        <v>1</v>
      </c>
      <c r="AQ103" s="456">
        <v>0</v>
      </c>
      <c r="AR103" s="410">
        <v>0</v>
      </c>
      <c r="AS103" s="410">
        <v>0</v>
      </c>
      <c r="AT103" s="410">
        <v>0</v>
      </c>
      <c r="AU103" s="410">
        <v>0</v>
      </c>
      <c r="AV103" s="263">
        <f t="shared" si="0"/>
        <v>1</v>
      </c>
      <c r="AW103" s="184"/>
    </row>
    <row r="104" spans="1:49" ht="16">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7">
        <v>2</v>
      </c>
      <c r="AN104" s="321"/>
      <c r="AO104" s="410">
        <v>0</v>
      </c>
      <c r="AP104" s="410">
        <v>0</v>
      </c>
      <c r="AQ104" s="456">
        <v>0</v>
      </c>
      <c r="AR104" s="410">
        <v>0</v>
      </c>
      <c r="AS104" s="410">
        <v>0</v>
      </c>
      <c r="AT104" s="410">
        <v>0</v>
      </c>
      <c r="AU104" s="410">
        <v>1</v>
      </c>
      <c r="AV104" s="263">
        <f t="shared" si="0"/>
        <v>1</v>
      </c>
      <c r="AW104" s="184"/>
    </row>
    <row r="105" spans="1:49" ht="16">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7">
        <v>1</v>
      </c>
      <c r="AN105" s="321"/>
      <c r="AO105" s="410">
        <v>0</v>
      </c>
      <c r="AP105" s="410">
        <v>1</v>
      </c>
      <c r="AQ105" s="456">
        <v>0</v>
      </c>
      <c r="AR105" s="410">
        <v>0</v>
      </c>
      <c r="AS105" s="410">
        <v>0</v>
      </c>
      <c r="AT105" s="410">
        <v>0</v>
      </c>
      <c r="AU105" s="410">
        <v>0</v>
      </c>
      <c r="AV105" s="263">
        <f t="shared" si="0"/>
        <v>1</v>
      </c>
      <c r="AW105" s="184"/>
    </row>
    <row r="106" spans="1:49" ht="16">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7">
        <v>1</v>
      </c>
      <c r="AN106" s="321"/>
      <c r="AO106" s="410">
        <v>0</v>
      </c>
      <c r="AP106" s="410">
        <v>0</v>
      </c>
      <c r="AQ106" s="456">
        <v>1</v>
      </c>
      <c r="AR106" s="410">
        <v>0</v>
      </c>
      <c r="AS106" s="410">
        <v>0</v>
      </c>
      <c r="AT106" s="410">
        <v>0</v>
      </c>
      <c r="AU106" s="410">
        <v>0</v>
      </c>
      <c r="AV106" s="263">
        <f t="shared" si="0"/>
        <v>1</v>
      </c>
      <c r="AW106" s="184"/>
    </row>
    <row r="107" spans="1:49" ht="16">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7">
        <v>1</v>
      </c>
      <c r="AN107" s="321"/>
      <c r="AO107" s="410">
        <v>0</v>
      </c>
      <c r="AP107" s="410">
        <v>1</v>
      </c>
      <c r="AQ107" s="456">
        <v>0</v>
      </c>
      <c r="AR107" s="410">
        <v>0</v>
      </c>
      <c r="AS107" s="410">
        <v>0</v>
      </c>
      <c r="AT107" s="410">
        <v>0</v>
      </c>
      <c r="AU107" s="410">
        <v>0</v>
      </c>
      <c r="AV107" s="263">
        <f t="shared" si="0"/>
        <v>1</v>
      </c>
      <c r="AW107" s="184"/>
    </row>
    <row r="108" spans="1:49" ht="16">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7">
        <v>2</v>
      </c>
      <c r="AN108" s="321"/>
      <c r="AO108" s="410">
        <v>0</v>
      </c>
      <c r="AP108" s="410">
        <v>0</v>
      </c>
      <c r="AQ108" s="456">
        <v>0</v>
      </c>
      <c r="AR108" s="410">
        <v>1</v>
      </c>
      <c r="AS108" s="410">
        <v>0</v>
      </c>
      <c r="AT108" s="410">
        <v>0</v>
      </c>
      <c r="AU108" s="410">
        <v>0</v>
      </c>
      <c r="AV108" s="263">
        <f t="shared" si="0"/>
        <v>1</v>
      </c>
      <c r="AW108" s="184"/>
    </row>
    <row r="109" spans="1:49" ht="16">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7">
        <v>2</v>
      </c>
      <c r="AN109" s="321"/>
      <c r="AO109" s="410">
        <v>0</v>
      </c>
      <c r="AP109" s="410">
        <v>1</v>
      </c>
      <c r="AQ109" s="456">
        <v>0</v>
      </c>
      <c r="AR109" s="410">
        <v>0</v>
      </c>
      <c r="AS109" s="410">
        <v>0</v>
      </c>
      <c r="AT109" s="410">
        <v>0</v>
      </c>
      <c r="AU109" s="410">
        <v>0</v>
      </c>
      <c r="AV109" s="263">
        <f t="shared" si="0"/>
        <v>1</v>
      </c>
      <c r="AW109" s="184"/>
    </row>
    <row r="110" spans="1:49" ht="16">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7">
        <v>2</v>
      </c>
      <c r="AN110" s="321"/>
      <c r="AO110" s="410">
        <v>1</v>
      </c>
      <c r="AP110" s="410">
        <v>0</v>
      </c>
      <c r="AQ110" s="456">
        <v>0</v>
      </c>
      <c r="AR110" s="410">
        <v>0</v>
      </c>
      <c r="AS110" s="410">
        <v>0</v>
      </c>
      <c r="AT110" s="410">
        <v>0</v>
      </c>
      <c r="AU110" s="410">
        <v>0</v>
      </c>
      <c r="AV110" s="263">
        <f t="shared" si="0"/>
        <v>1</v>
      </c>
      <c r="AW110" s="184"/>
    </row>
    <row r="111" spans="1:49" ht="16">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7">
        <v>2</v>
      </c>
      <c r="AN111" s="321"/>
      <c r="AO111" s="410">
        <v>1</v>
      </c>
      <c r="AP111" s="410">
        <v>0</v>
      </c>
      <c r="AQ111" s="456">
        <v>0</v>
      </c>
      <c r="AR111" s="410">
        <v>0</v>
      </c>
      <c r="AS111" s="410">
        <v>0</v>
      </c>
      <c r="AT111" s="410">
        <v>0</v>
      </c>
      <c r="AU111" s="410">
        <v>0</v>
      </c>
      <c r="AV111" s="263">
        <f t="shared" si="0"/>
        <v>1</v>
      </c>
      <c r="AW111" s="184"/>
    </row>
    <row r="112" spans="1:49" ht="16">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7">
        <v>2</v>
      </c>
      <c r="AN112" s="321"/>
      <c r="AO112" s="410">
        <v>0</v>
      </c>
      <c r="AP112" s="410">
        <v>0</v>
      </c>
      <c r="AQ112" s="456">
        <v>0</v>
      </c>
      <c r="AR112" s="410">
        <v>1</v>
      </c>
      <c r="AS112" s="410">
        <v>0</v>
      </c>
      <c r="AT112" s="410">
        <v>0</v>
      </c>
      <c r="AU112" s="410">
        <v>0</v>
      </c>
      <c r="AV112" s="263">
        <f t="shared" si="0"/>
        <v>1</v>
      </c>
      <c r="AW112" s="184"/>
    </row>
    <row r="113" spans="1:49" ht="16">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7">
        <v>2</v>
      </c>
      <c r="AN113" s="321"/>
      <c r="AO113" s="410">
        <v>1</v>
      </c>
      <c r="AP113" s="410">
        <v>0</v>
      </c>
      <c r="AQ113" s="456">
        <v>0</v>
      </c>
      <c r="AR113" s="410">
        <v>0</v>
      </c>
      <c r="AS113" s="410">
        <v>0</v>
      </c>
      <c r="AT113" s="410">
        <v>0</v>
      </c>
      <c r="AU113" s="410">
        <v>0</v>
      </c>
      <c r="AV113" s="263">
        <f t="shared" si="0"/>
        <v>1</v>
      </c>
      <c r="AW113" s="184"/>
    </row>
    <row r="114" spans="1:49" ht="16">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7">
        <v>0</v>
      </c>
      <c r="AK114" s="321"/>
      <c r="AL114" s="527">
        <v>0</v>
      </c>
      <c r="AM114" s="527">
        <v>0</v>
      </c>
      <c r="AN114" s="321"/>
      <c r="AO114" s="410">
        <v>0</v>
      </c>
      <c r="AP114" s="410">
        <v>0</v>
      </c>
      <c r="AQ114" s="456">
        <v>0</v>
      </c>
      <c r="AR114" s="410">
        <v>0</v>
      </c>
      <c r="AS114" s="410">
        <v>0</v>
      </c>
      <c r="AT114" s="410">
        <v>0</v>
      </c>
      <c r="AU114" s="410">
        <v>0</v>
      </c>
      <c r="AV114" s="263">
        <f t="shared" si="0"/>
        <v>0</v>
      </c>
      <c r="AW114" s="184"/>
    </row>
    <row r="115" spans="1:49" ht="16">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7">
        <v>0</v>
      </c>
      <c r="AK115" s="321"/>
      <c r="AL115" s="527">
        <v>0</v>
      </c>
      <c r="AM115" s="527">
        <v>0</v>
      </c>
      <c r="AN115" s="321"/>
      <c r="AO115" s="410">
        <v>0</v>
      </c>
      <c r="AP115" s="410">
        <v>0</v>
      </c>
      <c r="AQ115" s="456">
        <v>0</v>
      </c>
      <c r="AR115" s="410">
        <v>0</v>
      </c>
      <c r="AS115" s="410">
        <v>0</v>
      </c>
      <c r="AT115" s="410">
        <v>0</v>
      </c>
      <c r="AU115" s="410">
        <v>0</v>
      </c>
      <c r="AV115" s="263">
        <f t="shared" si="0"/>
        <v>0</v>
      </c>
      <c r="AW115" s="184"/>
    </row>
    <row r="116" spans="1:49" ht="16">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7">
        <v>0</v>
      </c>
      <c r="AK116" s="321"/>
      <c r="AL116" s="527">
        <v>0</v>
      </c>
      <c r="AM116" s="527">
        <v>0</v>
      </c>
      <c r="AN116" s="321"/>
      <c r="AO116" s="410">
        <v>0</v>
      </c>
      <c r="AP116" s="410">
        <v>0</v>
      </c>
      <c r="AQ116" s="456">
        <v>0</v>
      </c>
      <c r="AR116" s="410">
        <v>0</v>
      </c>
      <c r="AS116" s="410">
        <v>0</v>
      </c>
      <c r="AT116" s="410">
        <v>0</v>
      </c>
      <c r="AU116" s="410">
        <v>0</v>
      </c>
      <c r="AV116" s="263">
        <f t="shared" si="0"/>
        <v>0</v>
      </c>
      <c r="AW116" s="184"/>
    </row>
    <row r="117" spans="1:49" ht="16">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7">
        <v>0</v>
      </c>
      <c r="AK117" s="321"/>
      <c r="AL117" s="527">
        <v>0</v>
      </c>
      <c r="AM117" s="527">
        <v>0</v>
      </c>
      <c r="AN117" s="321"/>
      <c r="AO117" s="410">
        <v>0</v>
      </c>
      <c r="AP117" s="410">
        <v>0</v>
      </c>
      <c r="AQ117" s="456">
        <v>0</v>
      </c>
      <c r="AR117" s="410">
        <v>0</v>
      </c>
      <c r="AS117" s="410">
        <v>0</v>
      </c>
      <c r="AT117" s="410">
        <v>0</v>
      </c>
      <c r="AU117" s="410">
        <v>0</v>
      </c>
      <c r="AV117" s="263">
        <f t="shared" si="0"/>
        <v>0</v>
      </c>
      <c r="AW117" s="184"/>
    </row>
    <row r="118" spans="1:49" ht="16">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7">
        <v>0</v>
      </c>
      <c r="AK118" s="321"/>
      <c r="AL118" s="527">
        <v>0</v>
      </c>
      <c r="AM118" s="527">
        <v>0</v>
      </c>
      <c r="AN118" s="321"/>
      <c r="AO118" s="410">
        <v>0</v>
      </c>
      <c r="AP118" s="410">
        <v>0</v>
      </c>
      <c r="AQ118" s="456">
        <v>0</v>
      </c>
      <c r="AR118" s="410">
        <v>0</v>
      </c>
      <c r="AS118" s="410">
        <v>0</v>
      </c>
      <c r="AT118" s="410">
        <v>0</v>
      </c>
      <c r="AU118" s="410">
        <v>0</v>
      </c>
      <c r="AV118" s="263">
        <f t="shared" si="0"/>
        <v>0</v>
      </c>
      <c r="AW118" s="184"/>
    </row>
    <row r="119" spans="1:49" ht="16">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7">
        <v>0</v>
      </c>
      <c r="AK119" s="321"/>
      <c r="AL119" s="527">
        <v>0</v>
      </c>
      <c r="AM119" s="527">
        <v>0</v>
      </c>
      <c r="AN119" s="321"/>
      <c r="AO119" s="410">
        <v>0</v>
      </c>
      <c r="AP119" s="410">
        <v>0</v>
      </c>
      <c r="AQ119" s="456">
        <v>0</v>
      </c>
      <c r="AR119" s="410">
        <v>0</v>
      </c>
      <c r="AS119" s="410">
        <v>0</v>
      </c>
      <c r="AT119" s="410">
        <v>0</v>
      </c>
      <c r="AU119" s="410">
        <v>0</v>
      </c>
      <c r="AV119" s="263">
        <f t="shared" si="0"/>
        <v>0</v>
      </c>
      <c r="AW119" s="184"/>
    </row>
    <row r="120" spans="1:49" ht="16">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7">
        <v>0</v>
      </c>
      <c r="AK120" s="321"/>
      <c r="AL120" s="527">
        <v>0</v>
      </c>
      <c r="AM120" s="527">
        <v>0</v>
      </c>
      <c r="AN120" s="321"/>
      <c r="AO120" s="410">
        <v>0</v>
      </c>
      <c r="AP120" s="410">
        <v>0</v>
      </c>
      <c r="AQ120" s="456">
        <v>0</v>
      </c>
      <c r="AR120" s="410">
        <v>0</v>
      </c>
      <c r="AS120" s="410">
        <v>0</v>
      </c>
      <c r="AT120" s="410">
        <v>0</v>
      </c>
      <c r="AU120" s="410">
        <v>0</v>
      </c>
      <c r="AV120" s="263">
        <f t="shared" si="0"/>
        <v>0</v>
      </c>
      <c r="AW120" s="184"/>
    </row>
    <row r="121" spans="1:49" ht="16">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7">
        <v>0</v>
      </c>
      <c r="AK121" s="321"/>
      <c r="AL121" s="527">
        <v>0</v>
      </c>
      <c r="AM121" s="527">
        <v>0</v>
      </c>
      <c r="AN121" s="321"/>
      <c r="AO121" s="410">
        <v>0</v>
      </c>
      <c r="AP121" s="410">
        <v>0</v>
      </c>
      <c r="AQ121" s="456">
        <v>0</v>
      </c>
      <c r="AR121" s="410">
        <v>0</v>
      </c>
      <c r="AS121" s="410">
        <v>0</v>
      </c>
      <c r="AT121" s="410">
        <v>0</v>
      </c>
      <c r="AU121" s="410">
        <v>0</v>
      </c>
      <c r="AV121" s="263">
        <f t="shared" si="0"/>
        <v>0</v>
      </c>
      <c r="AW121" s="184"/>
    </row>
    <row r="122" spans="1:49" ht="16">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554">
        <v>7.4053036420619307</v>
      </c>
      <c r="AS126" s="554">
        <v>15.579650402661066</v>
      </c>
      <c r="AT126" s="554">
        <v>16.432369984722207</v>
      </c>
      <c r="AU126" s="554">
        <v>21.296862946633006</v>
      </c>
      <c r="AV126" s="554">
        <v>29.36767140788028</v>
      </c>
      <c r="AW126" s="184"/>
    </row>
    <row r="127" spans="1:49" ht="16">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554">
        <v>60.468026987655804</v>
      </c>
      <c r="AS127" s="554">
        <v>76.438580658507917</v>
      </c>
      <c r="AT127" s="554">
        <v>80.819104464764479</v>
      </c>
      <c r="AU127" s="554">
        <v>63.904824534846199</v>
      </c>
      <c r="AV127" s="554">
        <v>53.524458982191916</v>
      </c>
      <c r="AW127" s="184"/>
    </row>
    <row r="128" spans="1:49" ht="16">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554">
        <v>19.04980957880942</v>
      </c>
      <c r="AS128" s="554">
        <v>29.539302882342923</v>
      </c>
      <c r="AT128" s="554">
        <v>28.29726300653217</v>
      </c>
      <c r="AU128" s="554">
        <v>32.235833929111479</v>
      </c>
      <c r="AV128" s="554">
        <v>29.11910412505943</v>
      </c>
      <c r="AW128" s="184"/>
    </row>
    <row r="129" spans="1:49" ht="16">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554">
        <v>25.181093346116146</v>
      </c>
      <c r="AS129" s="554">
        <v>29.37336217382099</v>
      </c>
      <c r="AT129" s="554">
        <v>23.968266934420384</v>
      </c>
      <c r="AU129" s="554">
        <v>23.817107270928545</v>
      </c>
      <c r="AV129" s="554">
        <v>23.615532175399203</v>
      </c>
      <c r="AW129" s="184"/>
    </row>
    <row r="130" spans="1:49" ht="16">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554">
        <v>4.4841398367760021</v>
      </c>
      <c r="AS130" s="554">
        <v>6.1282418038414797</v>
      </c>
      <c r="AT130" s="554">
        <v>3.9415675227154185</v>
      </c>
      <c r="AU130" s="554">
        <v>3.9472145737929156</v>
      </c>
      <c r="AV130" s="554">
        <v>3.9502466302869239</v>
      </c>
      <c r="AW130" s="184"/>
    </row>
    <row r="131" spans="1:49" ht="16">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554">
        <v>18.358374762784134</v>
      </c>
      <c r="AS131" s="554">
        <v>13.064714582301995</v>
      </c>
      <c r="AT131" s="554">
        <v>18.174938098241526</v>
      </c>
      <c r="AU131" s="554">
        <v>17.324673414570764</v>
      </c>
      <c r="AV131" s="554">
        <v>17.549235675543112</v>
      </c>
      <c r="AW131" s="184"/>
    </row>
    <row r="132" spans="1:49" ht="16">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554">
        <v>90.180273290682564</v>
      </c>
      <c r="AS132" s="554">
        <v>99.638480514271393</v>
      </c>
      <c r="AT132" s="554">
        <v>111.74184577802872</v>
      </c>
      <c r="AU132" s="554">
        <v>103.25745746324677</v>
      </c>
      <c r="AV132" s="554">
        <v>100.4098535490651</v>
      </c>
      <c r="AW132" s="184"/>
    </row>
    <row r="133" spans="1:49" ht="16">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6"/>
      <c r="AS133" s="2"/>
      <c r="AT133" s="2"/>
      <c r="AU133" s="2"/>
      <c r="AV133" s="2"/>
      <c r="AW133" s="184"/>
    </row>
    <row r="134" spans="1:49" ht="16">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7"/>
      <c r="AS134" s="2"/>
      <c r="AT134" s="2"/>
      <c r="AU134" s="2"/>
      <c r="AV134" s="2"/>
      <c r="AW134" s="184"/>
    </row>
    <row r="135" spans="1:49" ht="16">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554">
        <v>27.551803839442329</v>
      </c>
      <c r="AS135" s="554">
        <v>32.419644532321904</v>
      </c>
      <c r="AT135" s="554">
        <v>57.533940403947732</v>
      </c>
      <c r="AU135" s="554">
        <v>57.533940403947732</v>
      </c>
      <c r="AV135" s="554">
        <v>59.136194621825609</v>
      </c>
      <c r="AW135" s="184"/>
    </row>
    <row r="136" spans="1:49" ht="16">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554">
        <v>5.0435576535865181</v>
      </c>
      <c r="AS136" s="554">
        <v>13.241743911065871</v>
      </c>
      <c r="AT136" s="554">
        <v>16.921389521173417</v>
      </c>
      <c r="AU136" s="554">
        <v>23.107999811505177</v>
      </c>
      <c r="AV136" s="554">
        <v>25.460868262491388</v>
      </c>
      <c r="AW136" s="184"/>
    </row>
    <row r="137" spans="1:49" ht="16">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554">
        <v>6.6457663075027469</v>
      </c>
      <c r="AS137" s="554">
        <v>7.4275819720431215</v>
      </c>
      <c r="AT137" s="554">
        <v>14.622217240151381</v>
      </c>
      <c r="AU137" s="554">
        <v>31.232217240151382</v>
      </c>
      <c r="AV137" s="554">
        <v>33.012217240151379</v>
      </c>
      <c r="AW137" s="184"/>
    </row>
    <row r="138" spans="1:49" ht="16">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554">
        <v>0</v>
      </c>
      <c r="AS138" s="554">
        <v>8.0709906704187411</v>
      </c>
      <c r="AT138" s="554">
        <v>0</v>
      </c>
      <c r="AU138" s="554">
        <v>0</v>
      </c>
      <c r="AV138" s="554">
        <v>0</v>
      </c>
      <c r="AW138" s="184"/>
    </row>
    <row r="139" spans="1:49" ht="16">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554">
        <v>0</v>
      </c>
      <c r="AS139" s="554">
        <v>0</v>
      </c>
      <c r="AT139" s="554">
        <v>0</v>
      </c>
      <c r="AU139" s="554">
        <v>0</v>
      </c>
      <c r="AV139" s="554">
        <v>0</v>
      </c>
      <c r="AW139" s="184"/>
    </row>
    <row r="140" spans="1:49" ht="16">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554">
        <v>0</v>
      </c>
      <c r="AS140" s="554">
        <v>0</v>
      </c>
      <c r="AT140" s="554">
        <v>0</v>
      </c>
      <c r="AU140" s="554">
        <v>0</v>
      </c>
      <c r="AV140" s="554">
        <v>0</v>
      </c>
      <c r="AW140" s="184"/>
    </row>
    <row r="141" spans="1:49" ht="16">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554">
        <v>0</v>
      </c>
      <c r="AS141" s="554">
        <v>0</v>
      </c>
      <c r="AT141" s="554">
        <v>0</v>
      </c>
      <c r="AU141" s="554">
        <v>0</v>
      </c>
      <c r="AV141" s="554">
        <v>0</v>
      </c>
      <c r="AW141" s="184"/>
    </row>
    <row r="142" spans="1:49" ht="16">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6"/>
      <c r="AS142" s="2"/>
      <c r="AT142" s="2"/>
      <c r="AU142" s="2"/>
      <c r="AV142" s="2"/>
      <c r="AW142" s="184"/>
    </row>
    <row r="143" spans="1:49" ht="16">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8"/>
      <c r="AS143" s="519"/>
      <c r="AT143" s="519"/>
      <c r="AU143" s="519"/>
      <c r="AV143" s="519"/>
      <c r="AW143" s="184"/>
    </row>
    <row r="144" spans="1:49" ht="16">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6"/>
      <c r="AS144" s="2"/>
      <c r="AT144" s="2"/>
      <c r="AU144" s="2"/>
      <c r="AV144" s="2"/>
      <c r="AW144" s="184"/>
    </row>
    <row r="145" spans="1:49" ht="16">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554">
        <v>1.8333401822540802</v>
      </c>
      <c r="AS145" s="554">
        <v>2.0938496933435586</v>
      </c>
      <c r="AT145" s="554">
        <v>2.2903562410999618</v>
      </c>
      <c r="AU145" s="554">
        <v>2.4681083129086803</v>
      </c>
      <c r="AV145" s="554">
        <v>2.6530185011980367</v>
      </c>
      <c r="AW145" s="184"/>
    </row>
    <row r="146" spans="1:49" ht="16">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554">
        <v>29.571536225703671</v>
      </c>
      <c r="AS146" s="554">
        <v>30.557878036508615</v>
      </c>
      <c r="AT146" s="554">
        <v>29.851648112312503</v>
      </c>
      <c r="AU146" s="554">
        <v>31.752770329363916</v>
      </c>
      <c r="AV146" s="554">
        <v>31.715960291527441</v>
      </c>
      <c r="AW146" s="184"/>
    </row>
    <row r="147" spans="1:49" ht="16">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554">
        <v>21.237883232946224</v>
      </c>
      <c r="AS147" s="554">
        <v>22.427187906174453</v>
      </c>
      <c r="AT147" s="554">
        <v>23.356219423681853</v>
      </c>
      <c r="AU147" s="554">
        <v>23.30170328778857</v>
      </c>
      <c r="AV147" s="554">
        <v>23.243261487706626</v>
      </c>
      <c r="AW147" s="184"/>
    </row>
    <row r="148" spans="1:49" ht="16">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554">
        <v>1.9538057913382285</v>
      </c>
      <c r="AS148" s="554">
        <v>1.748834170505932</v>
      </c>
      <c r="AT148" s="554">
        <v>2.2561863173216885</v>
      </c>
      <c r="AU148" s="554">
        <v>2.3559712047963859</v>
      </c>
      <c r="AV148" s="554">
        <v>14.621030922413503</v>
      </c>
      <c r="AW148" s="184"/>
    </row>
    <row r="149" spans="1:49" ht="16">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554">
        <v>1.3886495382801158</v>
      </c>
      <c r="AS149" s="554">
        <v>1.1279691388708</v>
      </c>
      <c r="AT149" s="554">
        <v>1.5277685223039756</v>
      </c>
      <c r="AU149" s="554">
        <v>1.5277685223039756</v>
      </c>
      <c r="AV149" s="554">
        <v>1.5277685223039756</v>
      </c>
      <c r="AW149" s="184"/>
    </row>
    <row r="150" spans="1:49" ht="16">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554">
        <v>0</v>
      </c>
      <c r="AS150" s="554">
        <v>0</v>
      </c>
      <c r="AT150" s="554">
        <v>0</v>
      </c>
      <c r="AU150" s="554">
        <v>0</v>
      </c>
      <c r="AV150" s="554">
        <v>0</v>
      </c>
      <c r="AW150" s="184"/>
    </row>
    <row r="151" spans="1:49" ht="16">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554">
        <v>13.937079923818523</v>
      </c>
      <c r="AS151" s="554">
        <v>0.44379427331895704</v>
      </c>
      <c r="AT151" s="554">
        <v>-0.51997411265006177</v>
      </c>
      <c r="AU151" s="561">
        <v>-2.445119335319422</v>
      </c>
      <c r="AV151" s="554">
        <v>0</v>
      </c>
      <c r="AW151" s="184"/>
    </row>
    <row r="152" spans="1:49" ht="16">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554">
        <v>4.1249925696201756E-2</v>
      </c>
      <c r="AS152" s="554">
        <v>0.11622045067797707</v>
      </c>
      <c r="AT152" s="554">
        <v>0</v>
      </c>
      <c r="AU152" s="554">
        <v>0</v>
      </c>
      <c r="AV152" s="554">
        <v>0</v>
      </c>
      <c r="AW152" s="184"/>
    </row>
    <row r="153" spans="1:49" ht="16">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554">
        <v>29.993191576581179</v>
      </c>
      <c r="AS153" s="554">
        <v>-5.75</v>
      </c>
      <c r="AT153" s="554">
        <v>-5.75</v>
      </c>
      <c r="AU153" s="554">
        <v>-5.75</v>
      </c>
      <c r="AV153" s="554">
        <v>-5.7448273360144393</v>
      </c>
      <c r="AW153" s="184"/>
    </row>
    <row r="154" spans="1:49" ht="16">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554">
        <v>0</v>
      </c>
      <c r="AS154" s="554">
        <v>0</v>
      </c>
      <c r="AT154" s="554">
        <v>0</v>
      </c>
      <c r="AU154" s="554">
        <v>0</v>
      </c>
      <c r="AV154" s="554">
        <v>0</v>
      </c>
      <c r="AW154" s="184"/>
    </row>
    <row r="155" spans="1:49" ht="16">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554">
        <v>0</v>
      </c>
      <c r="AS155" s="554">
        <v>0</v>
      </c>
      <c r="AT155" s="554">
        <v>0</v>
      </c>
      <c r="AU155" s="554">
        <v>0</v>
      </c>
      <c r="AV155" s="554">
        <v>0</v>
      </c>
      <c r="AW155" s="184"/>
    </row>
    <row r="156" spans="1:49" ht="16">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554">
        <v>0</v>
      </c>
      <c r="AS156" s="554">
        <v>0</v>
      </c>
      <c r="AT156" s="554">
        <v>0</v>
      </c>
      <c r="AU156" s="554">
        <v>0</v>
      </c>
      <c r="AV156" s="554">
        <v>0</v>
      </c>
      <c r="AW156" s="184"/>
    </row>
    <row r="157" spans="1:49" ht="16">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6">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6">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6"/>
      <c r="AS159" s="2"/>
      <c r="AT159" s="2"/>
      <c r="AU159" s="2"/>
      <c r="AV159" s="2"/>
      <c r="AW159" s="184"/>
    </row>
    <row r="160" spans="1:49" ht="16">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8"/>
      <c r="AS160" s="519"/>
      <c r="AT160" s="519"/>
      <c r="AU160" s="519"/>
      <c r="AV160" s="519"/>
      <c r="AW160" s="184"/>
    </row>
    <row r="161" spans="1:49" ht="16">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6"/>
      <c r="AS161" s="2"/>
      <c r="AT161" s="2"/>
      <c r="AU161" s="2"/>
      <c r="AV161" s="2"/>
      <c r="AW161" s="184"/>
    </row>
    <row r="162" spans="1:49" ht="16">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554">
        <v>0.31977678575002372</v>
      </c>
      <c r="AS162" s="554">
        <v>0.7221382044515865</v>
      </c>
      <c r="AT162" s="554">
        <v>0.94190481339973209</v>
      </c>
      <c r="AU162" s="554">
        <v>0.43632869999999979</v>
      </c>
      <c r="AV162" s="554">
        <v>0.43632869999999979</v>
      </c>
      <c r="AW162" s="184"/>
    </row>
    <row r="163" spans="1:49" ht="16">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554">
        <v>0.55217773458555719</v>
      </c>
      <c r="AS163" s="554">
        <v>0.76234246943237083</v>
      </c>
      <c r="AT163" s="554">
        <v>1.2147947383738646</v>
      </c>
      <c r="AU163" s="554">
        <v>2.7972000000000112</v>
      </c>
      <c r="AV163" s="554">
        <v>3.323</v>
      </c>
      <c r="AW163" s="184"/>
    </row>
    <row r="164" spans="1:49" ht="16">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554">
        <v>2.9376707218293099</v>
      </c>
      <c r="AS164" s="554">
        <v>2.7283043517612438</v>
      </c>
      <c r="AT164" s="554">
        <v>3.0301033943281035</v>
      </c>
      <c r="AU164" s="554">
        <v>1.255965</v>
      </c>
      <c r="AV164" s="554">
        <v>1.2535799999999999</v>
      </c>
      <c r="AW164" s="184"/>
    </row>
    <row r="165" spans="1:49" ht="16">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554">
        <v>0</v>
      </c>
      <c r="AS165" s="554">
        <v>0</v>
      </c>
      <c r="AT165" s="554">
        <v>0</v>
      </c>
      <c r="AU165" s="554">
        <v>0</v>
      </c>
      <c r="AV165" s="554">
        <v>0</v>
      </c>
      <c r="AW165" s="184"/>
    </row>
    <row r="166" spans="1:49" ht="16">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554">
        <v>0</v>
      </c>
      <c r="AS166" s="554">
        <v>1.661</v>
      </c>
      <c r="AT166" s="554">
        <v>0</v>
      </c>
      <c r="AU166" s="554">
        <v>0</v>
      </c>
      <c r="AV166" s="554">
        <v>4.9174060964104758</v>
      </c>
      <c r="AW166" s="184"/>
    </row>
    <row r="167" spans="1:49" ht="16">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554">
        <v>0.28267199999999998</v>
      </c>
      <c r="AS167" s="554">
        <v>1.7274800000000001</v>
      </c>
      <c r="AT167" s="554">
        <v>0</v>
      </c>
      <c r="AU167" s="554">
        <v>0</v>
      </c>
      <c r="AV167" s="554">
        <v>0</v>
      </c>
      <c r="AW167" s="184"/>
    </row>
    <row r="168" spans="1:49" ht="16">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554">
        <v>0</v>
      </c>
      <c r="AS168" s="554">
        <v>0</v>
      </c>
      <c r="AT168" s="554">
        <v>0</v>
      </c>
      <c r="AU168" s="554">
        <v>0</v>
      </c>
      <c r="AV168" s="554">
        <v>0</v>
      </c>
      <c r="AW168" s="184"/>
    </row>
    <row r="169" spans="1:49" ht="16">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554">
        <v>0</v>
      </c>
      <c r="AS169" s="554">
        <v>0</v>
      </c>
      <c r="AT169" s="554">
        <v>0</v>
      </c>
      <c r="AU169" s="554">
        <v>0</v>
      </c>
      <c r="AV169" s="554">
        <v>0</v>
      </c>
      <c r="AW169" s="184"/>
    </row>
    <row r="170" spans="1:49" ht="16">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6">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6">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6"/>
      <c r="AS172" s="2"/>
      <c r="AT172" s="2"/>
      <c r="AU172" s="2"/>
      <c r="AV172" s="2"/>
      <c r="AW172" s="184"/>
    </row>
    <row r="173" spans="1:49" ht="16">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6">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6"/>
      <c r="AS174" s="2"/>
      <c r="AT174" s="2"/>
      <c r="AU174" s="2"/>
      <c r="AV174" s="2"/>
      <c r="AW174" s="184"/>
    </row>
    <row r="175" spans="1:49" ht="16">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8"/>
      <c r="AS175" s="519"/>
      <c r="AT175" s="519"/>
      <c r="AU175" s="519"/>
      <c r="AV175" s="519"/>
      <c r="AW175" s="184"/>
    </row>
    <row r="176" spans="1:49" ht="16">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6"/>
      <c r="AS176" s="2"/>
      <c r="AT176" s="2"/>
      <c r="AU176" s="2"/>
      <c r="AV176" s="2"/>
      <c r="AW176" s="184"/>
    </row>
    <row r="177" spans="1:50" ht="16">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554">
        <v>7.8688423294344736E-2</v>
      </c>
      <c r="AS177" s="554">
        <v>0.92604130218589942</v>
      </c>
      <c r="AT177" s="554">
        <v>4.8952702745197563</v>
      </c>
      <c r="AU177" s="554">
        <v>0</v>
      </c>
      <c r="AV177" s="554">
        <v>0</v>
      </c>
      <c r="AW177" s="165"/>
      <c r="AX177" s="555"/>
    </row>
    <row r="178" spans="1:50" ht="16">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554">
        <v>0.93376716759334188</v>
      </c>
      <c r="AS178" s="554">
        <v>0</v>
      </c>
      <c r="AT178" s="554">
        <v>0</v>
      </c>
      <c r="AU178" s="554">
        <v>0</v>
      </c>
      <c r="AV178" s="554">
        <v>0</v>
      </c>
      <c r="AW178" s="165"/>
      <c r="AX178" s="555"/>
    </row>
    <row r="179" spans="1:50" ht="16">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554">
        <v>0</v>
      </c>
      <c r="AS179" s="554">
        <v>0</v>
      </c>
      <c r="AT179" s="554">
        <v>0</v>
      </c>
      <c r="AU179" s="554">
        <v>0</v>
      </c>
      <c r="AV179" s="554">
        <v>0</v>
      </c>
      <c r="AW179" s="165"/>
      <c r="AX179" s="555"/>
    </row>
    <row r="180" spans="1:50" ht="16">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554">
        <v>0</v>
      </c>
      <c r="AS180" s="554">
        <v>0</v>
      </c>
      <c r="AT180" s="554">
        <v>0</v>
      </c>
      <c r="AU180" s="554">
        <v>0</v>
      </c>
      <c r="AV180" s="554">
        <v>0</v>
      </c>
      <c r="AW180" s="165"/>
      <c r="AX180" s="555"/>
    </row>
    <row r="181" spans="1:50" ht="16">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54">
        <v>0</v>
      </c>
      <c r="AS181" s="554">
        <v>0</v>
      </c>
      <c r="AT181" s="554">
        <v>0</v>
      </c>
      <c r="AU181" s="554">
        <v>0</v>
      </c>
      <c r="AV181" s="554">
        <v>0</v>
      </c>
      <c r="AW181" s="165"/>
      <c r="AX181" s="555"/>
    </row>
    <row r="182" spans="1:50" ht="16">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54">
        <v>0</v>
      </c>
      <c r="AS182" s="554">
        <v>0</v>
      </c>
      <c r="AT182" s="554">
        <v>0</v>
      </c>
      <c r="AU182" s="554">
        <v>0</v>
      </c>
      <c r="AV182" s="554">
        <v>0</v>
      </c>
      <c r="AW182" s="184"/>
    </row>
    <row r="183" spans="1:50" ht="16">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50" ht="16">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50" ht="16">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50" ht="16">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50" ht="16">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50" ht="16">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50" ht="16">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50" ht="16">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50" ht="16">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554">
        <v>30.193787032597307</v>
      </c>
      <c r="AS191" s="554">
        <v>37.340744726597052</v>
      </c>
      <c r="AT191" s="554">
        <v>0</v>
      </c>
      <c r="AU191" s="554">
        <v>0</v>
      </c>
      <c r="AV191" s="554">
        <v>0</v>
      </c>
      <c r="AW191" s="184"/>
    </row>
    <row r="192" spans="1:50" ht="16">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554">
        <v>-30.908219879311623</v>
      </c>
      <c r="AS192" s="554">
        <v>-37.734014514661801</v>
      </c>
      <c r="AT192" s="554">
        <v>0</v>
      </c>
      <c r="AU192" s="554">
        <v>0</v>
      </c>
      <c r="AV192" s="554">
        <v>0</v>
      </c>
      <c r="AW192" s="184"/>
    </row>
    <row r="193" spans="1:49" ht="16">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554">
        <v>2.1404648649639912</v>
      </c>
      <c r="AS193" s="554">
        <v>1.8941926328749374</v>
      </c>
      <c r="AT193" s="554">
        <v>1.4298489583934437</v>
      </c>
      <c r="AU193" s="554">
        <v>1.9886250040329405</v>
      </c>
      <c r="AV193" s="554">
        <v>3.100814972910797</v>
      </c>
      <c r="AW193" s="184"/>
    </row>
    <row r="194" spans="1:49" ht="16">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554">
        <v>-4.6533782739685288</v>
      </c>
      <c r="AS194" s="554">
        <v>-4.3996216040889831</v>
      </c>
      <c r="AT194" s="554">
        <v>-1.4018127043072977</v>
      </c>
      <c r="AU194" s="554">
        <v>-1.9496323568950398</v>
      </c>
      <c r="AV194" s="554">
        <v>-3.0400146793243108</v>
      </c>
      <c r="AW194" s="184"/>
    </row>
    <row r="195" spans="1:49" ht="16">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554">
        <v>0.63009936060795257</v>
      </c>
      <c r="AS195" s="554">
        <v>0.73954591821127325</v>
      </c>
      <c r="AT195" s="554">
        <v>3.9693663952638332</v>
      </c>
      <c r="AU195" s="554">
        <v>6.3726038761284238</v>
      </c>
      <c r="AV195" s="554">
        <v>11.146357148524215</v>
      </c>
      <c r="AW195" s="184"/>
    </row>
    <row r="196" spans="1:49" ht="16">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554">
        <v>-1.2311420658154217</v>
      </c>
      <c r="AS196" s="554">
        <v>-1.2107184874898447</v>
      </c>
      <c r="AT196" s="554">
        <v>-3.891535681631209</v>
      </c>
      <c r="AU196" s="554">
        <v>-6.2476508589494353</v>
      </c>
      <c r="AV196" s="554">
        <v>-10.927801126004132</v>
      </c>
      <c r="AW196" s="184"/>
    </row>
    <row r="197" spans="1:49" ht="16">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554">
        <v>1.9965600008835967E-3</v>
      </c>
      <c r="AS197" s="554">
        <v>7.0926861764927344E-3</v>
      </c>
      <c r="AT197" s="554">
        <v>0</v>
      </c>
      <c r="AU197" s="554">
        <v>0</v>
      </c>
      <c r="AV197" s="554">
        <v>0</v>
      </c>
      <c r="AW197" s="184"/>
    </row>
    <row r="198" spans="1:49" ht="16">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554">
        <v>0</v>
      </c>
      <c r="AS198" s="554">
        <v>0</v>
      </c>
      <c r="AT198" s="554">
        <v>0</v>
      </c>
      <c r="AU198" s="554">
        <v>0</v>
      </c>
      <c r="AV198" s="554">
        <v>0</v>
      </c>
      <c r="AW198" s="184"/>
    </row>
    <row r="199" spans="1:49" ht="16">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554">
        <v>0.68650477677910882</v>
      </c>
      <c r="AS199" s="554">
        <v>0.67642866948097091</v>
      </c>
      <c r="AT199" s="554">
        <v>0.7193479940624945</v>
      </c>
      <c r="AU199" s="554">
        <v>0.71635768940318667</v>
      </c>
      <c r="AV199" s="554">
        <v>0.71185798128164468</v>
      </c>
      <c r="AW199" s="184"/>
    </row>
    <row r="200" spans="1:49" ht="16">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554">
        <v>-0.68650477677910882</v>
      </c>
      <c r="AS200" s="554">
        <v>-0.67479271226277959</v>
      </c>
      <c r="AT200" s="554">
        <v>-0.70524313143381812</v>
      </c>
      <c r="AU200" s="554">
        <v>-0.70231146019920265</v>
      </c>
      <c r="AV200" s="554">
        <v>-0.69789998164867129</v>
      </c>
      <c r="AW200" s="184"/>
    </row>
    <row r="201" spans="1:49" ht="16">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554">
        <v>4.1659421804704193</v>
      </c>
      <c r="AS201" s="554">
        <v>3.8795799400808888</v>
      </c>
      <c r="AT201" s="554">
        <v>1.5614070400655273</v>
      </c>
      <c r="AU201" s="554">
        <v>1.3218312239629997</v>
      </c>
      <c r="AV201" s="554">
        <v>1.1166947390763351</v>
      </c>
      <c r="AW201" s="184"/>
    </row>
    <row r="202" spans="1:49" ht="16">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554">
        <v>-1.6669797286080867</v>
      </c>
      <c r="AS202" s="554">
        <v>-1.5725369689485809</v>
      </c>
      <c r="AT202" s="554">
        <v>-1.530791215750517</v>
      </c>
      <c r="AU202" s="554">
        <v>-1.2959129646696075</v>
      </c>
      <c r="AV202" s="554">
        <v>-1.0947987638003285</v>
      </c>
      <c r="AW202" s="184"/>
    </row>
    <row r="203" spans="1:49" ht="16">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554">
        <v>0</v>
      </c>
      <c r="AS203" s="554">
        <v>0</v>
      </c>
      <c r="AT203" s="554">
        <v>0</v>
      </c>
      <c r="AU203" s="554">
        <v>0</v>
      </c>
      <c r="AV203" s="554">
        <v>0</v>
      </c>
      <c r="AW203" s="184"/>
    </row>
    <row r="204" spans="1:49" ht="16">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554">
        <v>0</v>
      </c>
      <c r="AS204" s="554">
        <v>0</v>
      </c>
      <c r="AT204" s="554">
        <v>0</v>
      </c>
      <c r="AU204" s="554">
        <v>0</v>
      </c>
      <c r="AV204" s="554">
        <v>0</v>
      </c>
      <c r="AW204" s="184"/>
    </row>
    <row r="205" spans="1:49" ht="16">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554">
        <v>0.56832212146821437</v>
      </c>
      <c r="AS205" s="554">
        <v>0.81888322917992773</v>
      </c>
      <c r="AT205" s="554">
        <v>1.5795318693837128</v>
      </c>
      <c r="AU205" s="554">
        <v>1.5718738635340339</v>
      </c>
      <c r="AV205" s="554">
        <v>1.5612712494379735</v>
      </c>
      <c r="AW205" s="184"/>
    </row>
    <row r="206" spans="1:49" ht="16">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554">
        <v>-0.14555662459072768</v>
      </c>
      <c r="AS206" s="554">
        <v>-0.33950705715125573</v>
      </c>
      <c r="AT206" s="554">
        <v>-1.5485606562585419</v>
      </c>
      <c r="AU206" s="554">
        <v>-1.5410528073863077</v>
      </c>
      <c r="AV206" s="554">
        <v>-1.5306580876842877</v>
      </c>
      <c r="AW206" s="184"/>
    </row>
    <row r="207" spans="1:49" ht="16">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66">
        <v>3.1E-2</v>
      </c>
      <c r="AS211" s="566">
        <v>3.1699999999999999E-2</v>
      </c>
      <c r="AT211" s="566">
        <v>3.1899999999999998E-2</v>
      </c>
      <c r="AU211" s="566">
        <v>3.2000000000000001E-2</v>
      </c>
      <c r="AV211" s="566">
        <v>3.2000000000000001E-2</v>
      </c>
      <c r="AW211" s="184"/>
    </row>
    <row r="212" spans="1:49" ht="16">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66">
        <v>1.46E-2</v>
      </c>
      <c r="AS213" s="566">
        <v>2.7199999999999998E-2</v>
      </c>
      <c r="AT213" s="566">
        <v>2.1399999999999999E-2</v>
      </c>
      <c r="AU213" s="566">
        <v>3.0499999999999999E-2</v>
      </c>
      <c r="AV213" s="566">
        <v>2.47E-2</v>
      </c>
      <c r="AW213" s="184"/>
    </row>
    <row r="214" spans="1:49" ht="16">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3.1530000000000002E-2</v>
      </c>
      <c r="AQ219" s="457">
        <v>3.0359999999999998E-2</v>
      </c>
      <c r="AR219" s="145"/>
      <c r="AS219" s="184"/>
      <c r="AT219" s="184"/>
      <c r="AU219" s="184"/>
      <c r="AV219" s="184"/>
      <c r="AW219" s="184"/>
    </row>
    <row r="220" spans="1:49" ht="16">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66">
        <v>0.95320000000000005</v>
      </c>
      <c r="AS223" s="566">
        <v>0.96040000000000003</v>
      </c>
      <c r="AT223" s="566">
        <v>0.97009999999999996</v>
      </c>
      <c r="AU223" s="566">
        <v>0.9798</v>
      </c>
      <c r="AV223" s="566">
        <v>0.98839999999999995</v>
      </c>
      <c r="AW223" s="184"/>
    </row>
    <row r="224" spans="1:49" ht="16">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
      <c r="A234" s="82"/>
      <c r="B234" s="82"/>
      <c r="C234" s="82"/>
      <c r="D234" s="82"/>
      <c r="E234" s="82" t="s">
        <v>267</v>
      </c>
      <c r="F234" s="82"/>
      <c r="G234" s="82" t="s">
        <v>206</v>
      </c>
      <c r="H234" s="82"/>
      <c r="I234" s="409">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
      <c r="A241" s="82"/>
      <c r="B241" s="82"/>
      <c r="C241" s="82"/>
      <c r="D241" s="82"/>
      <c r="E241" s="7" t="s">
        <v>272</v>
      </c>
      <c r="F241" s="82"/>
      <c r="G241" s="2" t="s">
        <v>101</v>
      </c>
      <c r="H241" s="82"/>
      <c r="I241" s="415">
        <v>35.959466792851771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
      <c r="A243" s="82"/>
      <c r="B243" s="82"/>
      <c r="C243" s="82"/>
      <c r="D243" s="82"/>
      <c r="E243" s="7" t="s">
        <v>275</v>
      </c>
      <c r="F243" s="82"/>
      <c r="G243" s="2" t="s">
        <v>276</v>
      </c>
      <c r="H243" s="82"/>
      <c r="I243" s="415">
        <v>12</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
      <c r="A245" s="82"/>
      <c r="B245" s="82"/>
      <c r="C245" s="82"/>
      <c r="D245" s="82"/>
      <c r="E245" s="41" t="s">
        <v>277</v>
      </c>
      <c r="F245" s="82"/>
      <c r="G245" s="2" t="s">
        <v>278</v>
      </c>
      <c r="H245" s="82"/>
      <c r="I245" s="411">
        <v>20</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
      <c r="A246" s="82"/>
      <c r="B246" s="82"/>
      <c r="C246" s="82"/>
      <c r="D246" s="82"/>
      <c r="E246" s="41" t="s">
        <v>279</v>
      </c>
      <c r="F246" s="82"/>
      <c r="G246" s="2" t="s">
        <v>278</v>
      </c>
      <c r="H246" s="82"/>
      <c r="I246" s="414"/>
      <c r="J246" s="334"/>
      <c r="K246" s="413">
        <v>38</v>
      </c>
      <c r="L246" s="413">
        <v>38</v>
      </c>
      <c r="M246" s="413">
        <v>38</v>
      </c>
      <c r="N246" s="413">
        <v>38</v>
      </c>
      <c r="O246" s="413">
        <v>38</v>
      </c>
      <c r="P246" s="413">
        <v>38</v>
      </c>
      <c r="Q246" s="413">
        <v>38</v>
      </c>
      <c r="R246" s="413">
        <v>38</v>
      </c>
      <c r="S246" s="413">
        <v>38</v>
      </c>
      <c r="T246" s="413">
        <v>38</v>
      </c>
      <c r="U246" s="413">
        <v>38</v>
      </c>
      <c r="V246" s="413">
        <v>38</v>
      </c>
      <c r="W246" s="413">
        <v>38</v>
      </c>
      <c r="X246" s="413">
        <v>38</v>
      </c>
      <c r="Y246" s="413">
        <v>38</v>
      </c>
      <c r="Z246" s="413">
        <v>38</v>
      </c>
      <c r="AA246" s="413">
        <v>38</v>
      </c>
      <c r="AB246" s="413">
        <v>38</v>
      </c>
      <c r="AC246" s="413">
        <v>38</v>
      </c>
      <c r="AD246" s="413">
        <v>38</v>
      </c>
      <c r="AE246" s="413">
        <v>38</v>
      </c>
      <c r="AF246" s="413">
        <v>38</v>
      </c>
      <c r="AG246" s="413">
        <v>38</v>
      </c>
      <c r="AH246" s="413">
        <v>38</v>
      </c>
      <c r="AI246" s="413">
        <v>38</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
      <c r="A250" s="82"/>
      <c r="B250" s="82"/>
      <c r="C250" s="82"/>
      <c r="D250" s="82"/>
      <c r="E250" s="7" t="s">
        <v>283</v>
      </c>
      <c r="F250" s="82"/>
      <c r="G250" s="2" t="s">
        <v>101</v>
      </c>
      <c r="H250" s="82"/>
      <c r="I250" s="207"/>
      <c r="J250" s="333"/>
      <c r="K250" s="413">
        <v>141.70383586083852</v>
      </c>
      <c r="L250" s="413">
        <v>119.1053156320512</v>
      </c>
      <c r="M250" s="413">
        <v>114.84493886760769</v>
      </c>
      <c r="N250" s="413">
        <v>121.88382221755786</v>
      </c>
      <c r="O250" s="413">
        <v>110.02886078606286</v>
      </c>
      <c r="P250" s="413">
        <v>117.06774413601302</v>
      </c>
      <c r="Q250" s="413">
        <v>90.764548459883514</v>
      </c>
      <c r="R250" s="413">
        <v>100.39670462297319</v>
      </c>
      <c r="S250" s="413">
        <v>111.19383237494276</v>
      </c>
      <c r="T250" s="413">
        <v>103.09538122432622</v>
      </c>
      <c r="U250" s="413">
        <v>109.03541200505889</v>
      </c>
      <c r="V250" s="413">
        <v>141.77522166307213</v>
      </c>
      <c r="W250" s="413">
        <v>131.24376820248207</v>
      </c>
      <c r="X250" s="413">
        <v>131.38557793305023</v>
      </c>
      <c r="Y250" s="413">
        <v>116.38578715518474</v>
      </c>
      <c r="Z250" s="413">
        <v>118.21000616407133</v>
      </c>
      <c r="AA250" s="413">
        <v>133.78107433545651</v>
      </c>
      <c r="AB250" s="413">
        <v>144.83278417437833</v>
      </c>
      <c r="AC250" s="413">
        <v>142.02723675021343</v>
      </c>
      <c r="AD250" s="413">
        <v>117.78128364610983</v>
      </c>
      <c r="AE250" s="413">
        <v>146.45264432823487</v>
      </c>
      <c r="AF250" s="413">
        <v>160.98914503286744</v>
      </c>
      <c r="AG250" s="413">
        <v>155.78448247749279</v>
      </c>
      <c r="AH250" s="413">
        <v>179.56202459360057</v>
      </c>
      <c r="AI250" s="413">
        <v>187.99090806333683</v>
      </c>
      <c r="AJ250" s="135"/>
      <c r="AK250" s="135"/>
      <c r="AL250" s="135"/>
      <c r="AM250" s="135"/>
      <c r="AN250" s="135"/>
      <c r="AO250" s="135"/>
      <c r="AP250" s="135"/>
      <c r="AQ250" s="245"/>
      <c r="AR250" s="145"/>
      <c r="AS250" s="184"/>
      <c r="AT250" s="184"/>
      <c r="AU250" s="184"/>
      <c r="AV250" s="184"/>
      <c r="AW250" s="184"/>
    </row>
    <row r="251" spans="1:49" ht="16">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1.5992440840751951</v>
      </c>
      <c r="AI252" s="413">
        <v>1.3540849121104173</v>
      </c>
      <c r="AJ252" s="135"/>
      <c r="AK252" s="135"/>
      <c r="AL252" s="135"/>
      <c r="AM252" s="135"/>
      <c r="AN252" s="135"/>
      <c r="AO252" s="135"/>
      <c r="AP252" s="135"/>
      <c r="AQ252" s="245"/>
      <c r="AR252" s="145"/>
      <c r="AS252" s="184"/>
      <c r="AT252" s="184"/>
      <c r="AU252" s="184"/>
      <c r="AV252" s="184"/>
      <c r="AW252" s="184"/>
    </row>
    <row r="253" spans="1:49" ht="16">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561">
        <v>542.94570547950002</v>
      </c>
      <c r="AS264" s="561">
        <v>599.38234671000009</v>
      </c>
      <c r="AT264" s="476">
        <v>490.3259263112875</v>
      </c>
      <c r="AU264" s="476">
        <v>550.63276408662955</v>
      </c>
      <c r="AV264" s="476"/>
      <c r="AW264" s="184"/>
    </row>
    <row r="265" spans="1:49" ht="16">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531.3259489622983</v>
      </c>
      <c r="AS265" s="476">
        <v>660.30339942531361</v>
      </c>
      <c r="AT265" s="476">
        <v>490.27779617688293</v>
      </c>
      <c r="AU265" s="476">
        <v>550.59634768885724</v>
      </c>
      <c r="AV265" s="476"/>
      <c r="AW265" s="184"/>
    </row>
    <row r="266" spans="1:49" ht="16">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v>358.78946220581747</v>
      </c>
      <c r="AS266" s="476">
        <v>358.78946220581747</v>
      </c>
      <c r="AT266" s="476">
        <v>347.95778859070782</v>
      </c>
      <c r="AU266" s="476">
        <v>357.98596846210404</v>
      </c>
      <c r="AV266" s="476"/>
      <c r="AW266" s="184"/>
    </row>
    <row r="267" spans="1:49" ht="16">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c r="AS267" s="476"/>
      <c r="AT267" s="476"/>
      <c r="AU267" s="476"/>
      <c r="AV267" s="476"/>
      <c r="AW267" s="184"/>
    </row>
    <row r="268" spans="1:49" ht="16">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6">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c r="AS269" s="476"/>
      <c r="AT269" s="476"/>
      <c r="AU269" s="476"/>
      <c r="AV269" s="476"/>
      <c r="AW269" s="184"/>
    </row>
    <row r="270" spans="1:49" ht="16">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6">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557">
        <v>-27.131662349681562</v>
      </c>
      <c r="AS277" s="557">
        <v>-33.315165602573281</v>
      </c>
      <c r="AT277" s="557">
        <v>-16.99993326748773</v>
      </c>
      <c r="AU277" s="557">
        <v>-20.624038504408205</v>
      </c>
      <c r="AV277" s="557">
        <v>-21.834666565269888</v>
      </c>
      <c r="AW277" s="184"/>
    </row>
    <row r="278" spans="1:49" ht="16">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1527.07431544</v>
      </c>
      <c r="AS278" s="476">
        <v>1592</v>
      </c>
      <c r="AT278" s="476">
        <v>1799.5685129055507</v>
      </c>
      <c r="AU278" s="476">
        <v>1973.1011818188254</v>
      </c>
      <c r="AV278" s="476">
        <v>2108.4226689379789</v>
      </c>
      <c r="AW278" s="184"/>
    </row>
    <row r="279" spans="1:49" ht="16">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77.828915998955878</v>
      </c>
      <c r="AS279" s="476">
        <v>78.676934930000016</v>
      </c>
      <c r="AT279" s="476">
        <v>89.745244534881294</v>
      </c>
      <c r="AU279" s="476">
        <v>96.338285149734133</v>
      </c>
      <c r="AV279" s="476">
        <v>98.218415946533938</v>
      </c>
      <c r="AW279" s="184"/>
    </row>
    <row r="280" spans="1:49" ht="16">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557">
        <v>0</v>
      </c>
      <c r="AS282" s="557">
        <v>-21.905705883838785</v>
      </c>
      <c r="AT282" s="557">
        <v>-34.798509602770793</v>
      </c>
      <c r="AU282" s="557">
        <v>-40.169840762873172</v>
      </c>
      <c r="AV282" s="557">
        <v>-64.724156930676628</v>
      </c>
      <c r="AW282" s="184"/>
    </row>
    <row r="283" spans="1:49" ht="16">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557">
        <v>0</v>
      </c>
      <c r="AS283" s="557">
        <v>-82.330559790308968</v>
      </c>
      <c r="AT283" s="557">
        <v>-114.54697451588544</v>
      </c>
      <c r="AU283" s="557">
        <v>-135.96029861896525</v>
      </c>
      <c r="AV283" s="557">
        <v>-135.2590424259117</v>
      </c>
      <c r="AW283" s="184"/>
    </row>
    <row r="284" spans="1:49" ht="16">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6">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0.14000000000000001</v>
      </c>
      <c r="AV286" s="420">
        <v>0.14000000000000001</v>
      </c>
      <c r="AW286" s="184"/>
    </row>
    <row r="287" spans="1:49" ht="16">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6">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6">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2.2200000000000001E-2</v>
      </c>
      <c r="AS289" s="420">
        <v>2.2200000000000001E-2</v>
      </c>
      <c r="AT289" s="420">
        <v>2.2200000000000001E-2</v>
      </c>
      <c r="AU289" s="420">
        <v>2.2200000000000001E-2</v>
      </c>
      <c r="AV289" s="420">
        <v>2.2200000000000001E-2</v>
      </c>
      <c r="AW289" s="184"/>
    </row>
    <row r="290" spans="1:49" ht="16">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7">
        <v>1.5418188657920666</v>
      </c>
      <c r="AS291" s="527">
        <v>1.5421689490890813</v>
      </c>
      <c r="AT291" s="527">
        <v>1.1986919632990878</v>
      </c>
      <c r="AU291" s="527">
        <v>1.2051150219812068</v>
      </c>
      <c r="AV291" s="527">
        <v>1.2030871425295599</v>
      </c>
      <c r="AW291" s="184"/>
    </row>
    <row r="292" spans="1:49" ht="16">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6">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51">
        <v>0</v>
      </c>
      <c r="AS295" s="551">
        <v>0</v>
      </c>
      <c r="AT295" s="551">
        <v>0</v>
      </c>
      <c r="AU295" s="551">
        <v>0</v>
      </c>
      <c r="AV295" s="551">
        <v>0</v>
      </c>
      <c r="AW295" s="184"/>
    </row>
    <row r="296" spans="1:49" ht="16">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51">
        <v>0</v>
      </c>
      <c r="AS296" s="551">
        <v>0</v>
      </c>
      <c r="AT296" s="551">
        <v>0</v>
      </c>
      <c r="AU296" s="551">
        <v>0</v>
      </c>
      <c r="AV296" s="551">
        <v>0</v>
      </c>
      <c r="AW296" s="184"/>
    </row>
    <row r="297" spans="1:49" ht="16">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51">
        <v>0.62907864793467771</v>
      </c>
      <c r="AS297" s="551">
        <v>0.71454953036872815</v>
      </c>
      <c r="AT297" s="551">
        <v>0.64904694462622181</v>
      </c>
      <c r="AU297" s="551">
        <v>0.79213229256808115</v>
      </c>
      <c r="AV297" s="551">
        <v>0.77045408151553363</v>
      </c>
      <c r="AW297" s="184"/>
    </row>
    <row r="298" spans="1:49" ht="16">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51">
        <v>0</v>
      </c>
      <c r="AS298" s="551">
        <v>0</v>
      </c>
      <c r="AT298" s="551">
        <v>0</v>
      </c>
      <c r="AU298" s="551">
        <v>0</v>
      </c>
      <c r="AV298" s="551">
        <v>0</v>
      </c>
      <c r="AW298" s="184"/>
    </row>
    <row r="299" spans="1:49" ht="16">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51">
        <v>0</v>
      </c>
      <c r="AS299" s="551">
        <v>0</v>
      </c>
      <c r="AT299" s="551">
        <v>0</v>
      </c>
      <c r="AU299" s="551">
        <v>0</v>
      </c>
      <c r="AV299" s="551">
        <v>0</v>
      </c>
      <c r="AW299" s="184"/>
    </row>
    <row r="300" spans="1:49" ht="16">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51">
        <v>0</v>
      </c>
      <c r="AS300" s="551">
        <v>0</v>
      </c>
      <c r="AT300" s="551">
        <v>0</v>
      </c>
      <c r="AU300" s="551">
        <v>0</v>
      </c>
      <c r="AV300" s="551">
        <v>0</v>
      </c>
      <c r="AW300" s="184"/>
    </row>
    <row r="301" spans="1:49" ht="16">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51">
        <v>5.2071718511002826E-2</v>
      </c>
      <c r="AS301" s="551">
        <v>5.7117777962667808E-2</v>
      </c>
      <c r="AT301" s="551">
        <v>6.9683796293850603E-2</v>
      </c>
      <c r="AU301" s="551">
        <v>3.1257080478088194E-2</v>
      </c>
      <c r="AV301" s="551">
        <v>2.7517960849722495E-2</v>
      </c>
      <c r="AW301" s="184"/>
    </row>
    <row r="302" spans="1:49" ht="16">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51">
        <v>0.98328849503876714</v>
      </c>
      <c r="AS302" s="551">
        <v>0.98323273338753914</v>
      </c>
      <c r="AT302" s="551">
        <v>0.98227424918134321</v>
      </c>
      <c r="AU302" s="551">
        <v>0.98299848128510636</v>
      </c>
      <c r="AV302" s="551">
        <v>0.98053697760929648</v>
      </c>
      <c r="AW302" s="184"/>
    </row>
    <row r="303" spans="1:49" ht="16">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51">
        <v>0.94193875909710245</v>
      </c>
      <c r="AS303" s="551">
        <v>0.96206709236529442</v>
      </c>
      <c r="AT303" s="551">
        <v>0.96985173066804986</v>
      </c>
      <c r="AU303" s="551">
        <v>0.96705417109356417</v>
      </c>
      <c r="AV303" s="551">
        <v>0.96218159726676122</v>
      </c>
      <c r="AW303" s="184"/>
    </row>
    <row r="304" spans="1:49" ht="16">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51">
        <v>3.3270252586965816E-2</v>
      </c>
      <c r="AS304" s="551">
        <v>1.697271037010108E-2</v>
      </c>
      <c r="AT304" s="551">
        <v>8.3239329840322826E-2</v>
      </c>
      <c r="AU304" s="551">
        <v>7.38489996983204E-2</v>
      </c>
      <c r="AV304" s="551">
        <v>8.1970900000583491E-2</v>
      </c>
      <c r="AW304" s="184"/>
    </row>
    <row r="305" spans="1:49" ht="16">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51">
        <v>0.84928043356427518</v>
      </c>
      <c r="AS305" s="551">
        <v>0.88250943303273111</v>
      </c>
      <c r="AT305" s="551">
        <v>0.84020306656436061</v>
      </c>
      <c r="AU305" s="551">
        <v>0.8398816816116853</v>
      </c>
      <c r="AV305" s="551">
        <v>0.83916467837790931</v>
      </c>
      <c r="AW305" s="184"/>
    </row>
    <row r="306" spans="1:49" ht="16">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51">
        <v>0.33121839741080428</v>
      </c>
      <c r="AS306" s="551">
        <v>0.10269516032953971</v>
      </c>
      <c r="AT306" s="551">
        <v>0.16406764615478089</v>
      </c>
      <c r="AU306" s="551">
        <v>0.16657348880880879</v>
      </c>
      <c r="AV306" s="551">
        <v>0.16906627404841437</v>
      </c>
      <c r="AW306" s="184"/>
    </row>
    <row r="307" spans="1:49" ht="16">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51">
        <v>0</v>
      </c>
      <c r="AS307" s="551">
        <v>0</v>
      </c>
      <c r="AT307" s="551">
        <v>0</v>
      </c>
      <c r="AU307" s="551">
        <v>0</v>
      </c>
      <c r="AV307" s="551">
        <v>0</v>
      </c>
      <c r="AW307" s="184"/>
    </row>
    <row r="308" spans="1:49" ht="16">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51">
        <v>0.29170109176387227</v>
      </c>
      <c r="AS308" s="551">
        <v>0.29286428655237379</v>
      </c>
      <c r="AT308" s="551">
        <v>0.29552240377860511</v>
      </c>
      <c r="AU308" s="551">
        <v>0.30554772537732194</v>
      </c>
      <c r="AV308" s="551">
        <v>0.31000424902461649</v>
      </c>
      <c r="AW308" s="184"/>
    </row>
    <row r="309" spans="1:49" ht="16">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51">
        <v>0</v>
      </c>
      <c r="AS309" s="551">
        <v>0</v>
      </c>
      <c r="AT309" s="551">
        <v>0</v>
      </c>
      <c r="AU309" s="551">
        <v>0</v>
      </c>
      <c r="AV309" s="551">
        <v>0</v>
      </c>
      <c r="AW309" s="184"/>
    </row>
    <row r="310" spans="1:49" ht="16">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51">
        <v>0</v>
      </c>
      <c r="AS310" s="551">
        <v>0</v>
      </c>
      <c r="AT310" s="551">
        <v>0</v>
      </c>
      <c r="AU310" s="551">
        <v>0</v>
      </c>
      <c r="AV310" s="551">
        <v>0</v>
      </c>
      <c r="AW310" s="184"/>
    </row>
    <row r="311" spans="1:49" ht="16">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51">
        <v>0</v>
      </c>
      <c r="AS311" s="551">
        <v>0</v>
      </c>
      <c r="AT311" s="551">
        <v>0</v>
      </c>
      <c r="AU311" s="551">
        <v>0</v>
      </c>
      <c r="AV311" s="551">
        <v>0</v>
      </c>
      <c r="AW311" s="184"/>
    </row>
    <row r="312" spans="1:49" ht="16">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51">
        <v>0</v>
      </c>
      <c r="AS312" s="551">
        <v>0</v>
      </c>
      <c r="AT312" s="551">
        <v>0</v>
      </c>
      <c r="AU312" s="551">
        <v>0</v>
      </c>
      <c r="AV312" s="551">
        <v>0</v>
      </c>
      <c r="AW312" s="184"/>
    </row>
    <row r="313" spans="1:49" ht="16">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51">
        <v>0</v>
      </c>
      <c r="AS313" s="551">
        <v>0</v>
      </c>
      <c r="AT313" s="551">
        <v>0</v>
      </c>
      <c r="AU313" s="551">
        <v>0</v>
      </c>
      <c r="AV313" s="551">
        <v>0</v>
      </c>
      <c r="AW313" s="184"/>
    </row>
    <row r="314" spans="1:49" ht="16">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51">
        <v>0</v>
      </c>
      <c r="AS314" s="551">
        <v>0</v>
      </c>
      <c r="AT314" s="551">
        <v>0</v>
      </c>
      <c r="AU314" s="551">
        <v>0</v>
      </c>
      <c r="AV314" s="551">
        <v>0</v>
      </c>
      <c r="AW314" s="184"/>
    </row>
    <row r="315" spans="1:49" ht="16">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51">
        <v>0</v>
      </c>
      <c r="AS315" s="551">
        <v>0</v>
      </c>
      <c r="AT315" s="551">
        <v>0</v>
      </c>
      <c r="AU315" s="551">
        <v>0</v>
      </c>
      <c r="AV315" s="551">
        <v>0</v>
      </c>
      <c r="AW315" s="184"/>
    </row>
    <row r="316" spans="1:49" ht="16">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51">
        <v>6.7797371428799215E-3</v>
      </c>
      <c r="AS316" s="551">
        <v>7.7292802009390951E-3</v>
      </c>
      <c r="AT316" s="551">
        <v>7.2330226719264715E-3</v>
      </c>
      <c r="AU316" s="551">
        <v>6.6090915968847839E-3</v>
      </c>
      <c r="AV316" s="551">
        <v>3.909433740260192E-3</v>
      </c>
      <c r="AW316" s="184"/>
    </row>
    <row r="317" spans="1:49" ht="16">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51">
        <v>5.4997558143779476E-2</v>
      </c>
      <c r="AS317" s="551">
        <v>3.5703579087375772E-2</v>
      </c>
      <c r="AT317" s="551">
        <v>2.8108646685215198E-2</v>
      </c>
      <c r="AU317" s="551">
        <v>3.0654744499805521E-2</v>
      </c>
      <c r="AV317" s="551">
        <v>3.5294469086433404E-2</v>
      </c>
      <c r="AW317" s="184"/>
    </row>
    <row r="318" spans="1:49" ht="16">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51">
        <v>0</v>
      </c>
      <c r="AS318" s="551">
        <v>0</v>
      </c>
      <c r="AT318" s="551">
        <v>0</v>
      </c>
      <c r="AU318" s="551">
        <v>0</v>
      </c>
      <c r="AV318" s="551">
        <v>0</v>
      </c>
      <c r="AW318" s="184"/>
    </row>
    <row r="319" spans="1:49" ht="16">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51">
        <v>0</v>
      </c>
      <c r="AS319" s="551">
        <v>0</v>
      </c>
      <c r="AT319" s="551">
        <v>0</v>
      </c>
      <c r="AU319" s="551">
        <v>0</v>
      </c>
      <c r="AV319" s="551">
        <v>0</v>
      </c>
      <c r="AW319" s="184"/>
    </row>
    <row r="320" spans="1:49" ht="16">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51">
        <v>0</v>
      </c>
      <c r="AS320" s="551">
        <v>0</v>
      </c>
      <c r="AT320" s="551">
        <v>0</v>
      </c>
      <c r="AU320" s="551">
        <v>0</v>
      </c>
      <c r="AV320" s="551">
        <v>0</v>
      </c>
      <c r="AW320" s="184"/>
    </row>
    <row r="321" spans="1:49" ht="16">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51">
        <v>0</v>
      </c>
      <c r="AS321" s="551">
        <v>0</v>
      </c>
      <c r="AT321" s="551">
        <v>0</v>
      </c>
      <c r="AU321" s="551">
        <v>0</v>
      </c>
      <c r="AV321" s="551">
        <v>0</v>
      </c>
      <c r="AW321" s="184"/>
    </row>
    <row r="322" spans="1:49" ht="16">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51">
        <v>7.0440870848984373E-3</v>
      </c>
      <c r="AS322" s="551">
        <v>4.7232605761292294E-3</v>
      </c>
      <c r="AT322" s="551">
        <v>3.913575061881786E-3</v>
      </c>
      <c r="AU322" s="551">
        <v>3.999597447812457E-3</v>
      </c>
      <c r="AV322" s="551">
        <v>3.9495448669417598E-3</v>
      </c>
      <c r="AW322" s="184"/>
    </row>
    <row r="323" spans="1:49" ht="16">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51">
        <v>4.210470651365413E-3</v>
      </c>
      <c r="AS323" s="551">
        <v>4.7670903436173827E-3</v>
      </c>
      <c r="AT323" s="551">
        <v>9.546351348534491E-3</v>
      </c>
      <c r="AU323" s="551">
        <v>8.6164716025311991E-3</v>
      </c>
      <c r="AV323" s="551">
        <v>1.3180810946817317E-2</v>
      </c>
      <c r="AW323" s="184"/>
    </row>
    <row r="324" spans="1:49" ht="16">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51">
        <v>0</v>
      </c>
      <c r="AS324" s="551">
        <v>0</v>
      </c>
      <c r="AT324" s="551">
        <v>0</v>
      </c>
      <c r="AU324" s="551">
        <v>0</v>
      </c>
      <c r="AV324" s="551">
        <v>0</v>
      </c>
      <c r="AW324" s="184"/>
    </row>
    <row r="325" spans="1:49" ht="16">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51">
        <v>0.33765109947835653</v>
      </c>
      <c r="AS325" s="551">
        <v>0.26847775926117085</v>
      </c>
      <c r="AT325" s="551">
        <v>0.2677137255334554</v>
      </c>
      <c r="AU325" s="551">
        <v>0.13401870773359842</v>
      </c>
      <c r="AV325" s="551">
        <v>0.14757501848388296</v>
      </c>
      <c r="AW325" s="184"/>
    </row>
    <row r="326" spans="1:49" ht="16">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51">
        <v>0.15071956643572484</v>
      </c>
      <c r="AS326" s="551">
        <v>0.11749056696726895</v>
      </c>
      <c r="AT326" s="551">
        <v>0.15979693343563933</v>
      </c>
      <c r="AU326" s="551">
        <v>0.16011831838831458</v>
      </c>
      <c r="AV326" s="551">
        <v>0.16083532162209063</v>
      </c>
      <c r="AW326" s="184"/>
    </row>
    <row r="327" spans="1:49" ht="16">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51">
        <v>0.66878160258919572</v>
      </c>
      <c r="AS327" s="551">
        <v>0.89730483967046026</v>
      </c>
      <c r="AT327" s="551">
        <v>0.83593235384521913</v>
      </c>
      <c r="AU327" s="551">
        <v>0.83342651119119127</v>
      </c>
      <c r="AV327" s="551">
        <v>0.83093372595158566</v>
      </c>
      <c r="AW327" s="184"/>
    </row>
    <row r="328" spans="1:49" ht="16">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51">
        <v>1</v>
      </c>
      <c r="AS328" s="551">
        <v>1</v>
      </c>
      <c r="AT328" s="551">
        <v>1</v>
      </c>
      <c r="AU328" s="551">
        <v>1</v>
      </c>
      <c r="AV328" s="551">
        <v>1</v>
      </c>
      <c r="AW328" s="184"/>
    </row>
    <row r="329" spans="1:49" ht="16">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51">
        <v>0.64844586164757567</v>
      </c>
      <c r="AS329" s="551">
        <v>0.64475875646269298</v>
      </c>
      <c r="AT329" s="551">
        <v>0.63055907232138042</v>
      </c>
      <c r="AU329" s="551">
        <v>0.65876989820647325</v>
      </c>
      <c r="AV329" s="551">
        <v>0.65801232555080214</v>
      </c>
      <c r="AW329" s="184"/>
    </row>
    <row r="330" spans="1:49" ht="16">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51">
        <v>5.7212971669872758E-3</v>
      </c>
      <c r="AS330" s="551">
        <v>4.270896067904352E-3</v>
      </c>
      <c r="AT330" s="551">
        <v>9.4637679819598692E-4</v>
      </c>
      <c r="AU330" s="551">
        <v>1.7759555154776771E-3</v>
      </c>
      <c r="AV330" s="551">
        <v>2.3727777036261282E-3</v>
      </c>
      <c r="AW330" s="184"/>
    </row>
    <row r="331" spans="1:49" ht="16">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51">
        <v>3.0636827591181458E-3</v>
      </c>
      <c r="AS331" s="551">
        <v>2.2293285473298937E-3</v>
      </c>
      <c r="AT331" s="551">
        <v>2.0396226467350744E-3</v>
      </c>
      <c r="AU331" s="551">
        <v>2.291084406630361E-3</v>
      </c>
      <c r="AV331" s="551">
        <v>2.5239336468054099E-3</v>
      </c>
      <c r="AW331" s="184"/>
    </row>
    <row r="332" spans="1:49" ht="16">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51">
        <v>0</v>
      </c>
      <c r="AS332" s="551">
        <v>0</v>
      </c>
      <c r="AT332" s="551">
        <v>0</v>
      </c>
      <c r="AU332" s="551">
        <v>0</v>
      </c>
      <c r="AV332" s="551">
        <v>0</v>
      </c>
      <c r="AW332" s="184"/>
    </row>
    <row r="333" spans="1:49" ht="16">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51">
        <v>0</v>
      </c>
      <c r="AS333" s="551">
        <v>0</v>
      </c>
      <c r="AT333" s="551">
        <v>0</v>
      </c>
      <c r="AU333" s="551">
        <v>0</v>
      </c>
      <c r="AV333" s="551">
        <v>0</v>
      </c>
      <c r="AW333" s="184"/>
    </row>
    <row r="334" spans="1:49" ht="16">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51">
        <v>0</v>
      </c>
      <c r="AS334" s="551">
        <v>0</v>
      </c>
      <c r="AT334" s="551">
        <v>0</v>
      </c>
      <c r="AU334" s="551">
        <v>0</v>
      </c>
      <c r="AV334" s="551">
        <v>0</v>
      </c>
      <c r="AW334" s="184"/>
    </row>
    <row r="335" spans="1:49" ht="16">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51">
        <v>0</v>
      </c>
      <c r="AS335" s="551">
        <v>0</v>
      </c>
      <c r="AT335" s="551">
        <v>0</v>
      </c>
      <c r="AU335" s="551">
        <v>0</v>
      </c>
      <c r="AV335" s="551">
        <v>0</v>
      </c>
      <c r="AW335" s="184"/>
    </row>
    <row r="336" spans="1:49" ht="16">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51">
        <v>7.3724099265089443E-4</v>
      </c>
      <c r="AS336" s="551">
        <v>5.3591844613631271E-4</v>
      </c>
      <c r="AT336" s="551">
        <v>3.2115254428218687E-4</v>
      </c>
      <c r="AU336" s="551">
        <v>4.2569849030426059E-4</v>
      </c>
      <c r="AV336" s="551">
        <v>5.1591970791711045E-4</v>
      </c>
      <c r="AW336" s="184"/>
    </row>
    <row r="337" spans="1:49" ht="16">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2.663947748147637</v>
      </c>
      <c r="AS341" s="184"/>
      <c r="AT341" s="184"/>
      <c r="AU341" s="184"/>
      <c r="AV341" s="184"/>
      <c r="AW341" s="184"/>
    </row>
    <row r="342" spans="1:49" ht="16">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155.47644391004582</v>
      </c>
      <c r="AK342" s="476">
        <v>160.27143604571083</v>
      </c>
      <c r="AL342" s="476">
        <v>163.61468448169003</v>
      </c>
      <c r="AM342" s="476">
        <v>166.78837935150085</v>
      </c>
      <c r="AN342" s="476">
        <v>160.69090523259601</v>
      </c>
      <c r="AO342" s="476">
        <v>155.11765893586826</v>
      </c>
      <c r="AP342" s="476">
        <v>147.25037059693383</v>
      </c>
      <c r="AQ342" s="477">
        <v>148.39957411124954</v>
      </c>
      <c r="AR342" s="184"/>
      <c r="AS342" s="184"/>
      <c r="AT342" s="184"/>
      <c r="AU342" s="184"/>
      <c r="AV342" s="184"/>
      <c r="AW342" s="184"/>
    </row>
    <row r="343" spans="1:49" ht="16">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50.899217296015387</v>
      </c>
      <c r="AS344" s="184"/>
      <c r="AT344" s="184"/>
      <c r="AU344" s="184"/>
      <c r="AV344" s="184"/>
      <c r="AW344" s="184"/>
    </row>
    <row r="345" spans="1:49" ht="16">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1406.2597625255362</v>
      </c>
      <c r="AS345" s="184"/>
      <c r="AT345" s="184"/>
      <c r="AU345" s="184"/>
      <c r="AV345" s="184"/>
      <c r="AW345" s="184"/>
    </row>
    <row r="346" spans="1:49" ht="16">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0</v>
      </c>
      <c r="AS346" s="184"/>
      <c r="AT346" s="184"/>
      <c r="AU346" s="184"/>
      <c r="AV346" s="184"/>
      <c r="AW346" s="184"/>
    </row>
    <row r="347" spans="1:49" ht="16">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0</v>
      </c>
      <c r="AR347" s="455"/>
      <c r="AS347" s="184"/>
      <c r="AT347" s="184"/>
      <c r="AU347" s="184"/>
      <c r="AV347" s="184"/>
      <c r="AW347" s="184"/>
    </row>
    <row r="348" spans="1:49" ht="16">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6">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6">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342.88656016559275</v>
      </c>
      <c r="AQ351" s="477">
        <v>325.72322677223258</v>
      </c>
      <c r="AR351" s="364"/>
      <c r="AS351" s="184"/>
      <c r="AT351" s="184"/>
      <c r="AU351" s="184"/>
      <c r="AV351" s="184"/>
      <c r="AW351" s="184"/>
    </row>
    <row r="352" spans="1:49" ht="16">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6">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391.37700000000001</v>
      </c>
      <c r="AK354" s="476">
        <v>386.80900000000003</v>
      </c>
      <c r="AL354" s="476">
        <v>377.35319400333327</v>
      </c>
      <c r="AM354" s="476">
        <v>406.1183723095557</v>
      </c>
      <c r="AN354" s="476">
        <v>421.42452208894213</v>
      </c>
      <c r="AO354" s="476">
        <v>415.57624345133331</v>
      </c>
      <c r="AP354" s="476">
        <v>428.82277486266662</v>
      </c>
      <c r="AQ354" s="477">
        <v>518.44197616319991</v>
      </c>
      <c r="AR354" s="184"/>
      <c r="AS354" s="184"/>
      <c r="AT354" s="184"/>
      <c r="AU354" s="184"/>
      <c r="AV354" s="184"/>
      <c r="AW354" s="184"/>
    </row>
    <row r="355" spans="1:49" ht="16">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383.79577345479782</v>
      </c>
      <c r="AK355" s="476">
        <v>393.23197966848056</v>
      </c>
      <c r="AL355" s="476">
        <v>381.74368173121564</v>
      </c>
      <c r="AM355" s="476">
        <v>422.12102735578259</v>
      </c>
      <c r="AN355" s="476">
        <v>418.91002804350404</v>
      </c>
      <c r="AO355" s="476">
        <v>438.53533338917987</v>
      </c>
      <c r="AP355" s="476">
        <v>429.48435268814097</v>
      </c>
      <c r="AQ355" s="477">
        <v>526.5732407258464</v>
      </c>
      <c r="AR355" s="184"/>
      <c r="AS355" s="184"/>
      <c r="AT355" s="184"/>
      <c r="AU355" s="184"/>
      <c r="AV355" s="184"/>
      <c r="AW355" s="184"/>
    </row>
    <row r="356" spans="1:49" ht="16">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v>
      </c>
      <c r="AQ356" s="477">
        <v>2.3034246575342463</v>
      </c>
      <c r="AR356" s="419"/>
      <c r="AS356" s="184"/>
      <c r="AT356" s="184"/>
      <c r="AU356" s="184"/>
      <c r="AV356" s="184"/>
      <c r="AW356" s="184"/>
    </row>
    <row r="357" spans="1:49" ht="16">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6">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
      <c r="A359" s="82"/>
      <c r="B359" s="82"/>
      <c r="C359" s="82"/>
      <c r="D359" s="82"/>
      <c r="E359" s="363" t="s">
        <v>426</v>
      </c>
      <c r="F359" s="82"/>
      <c r="G359" s="82" t="s">
        <v>298</v>
      </c>
      <c r="H359" s="509"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c r="AS359" s="419"/>
      <c r="AT359" s="419"/>
      <c r="AU359" s="419"/>
      <c r="AV359" s="419"/>
      <c r="AW359" s="184"/>
    </row>
    <row r="360" spans="1:49" ht="16">
      <c r="A360" s="82"/>
      <c r="B360" s="82"/>
      <c r="C360" s="82"/>
      <c r="D360" s="82"/>
      <c r="E360" s="363" t="s">
        <v>428</v>
      </c>
      <c r="F360" s="82"/>
      <c r="G360" s="82" t="s">
        <v>298</v>
      </c>
      <c r="H360" s="509"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2.5300000000000001E-3</v>
      </c>
      <c r="AK362" s="476">
        <v>7.92E-3</v>
      </c>
      <c r="AL362" s="476">
        <v>6.0000000000000001E-3</v>
      </c>
      <c r="AM362" s="476">
        <v>4.7064999999999996E-2</v>
      </c>
      <c r="AN362" s="476">
        <v>2.5995000000000001E-2</v>
      </c>
      <c r="AO362" s="476">
        <v>1.4789999999999999E-2</v>
      </c>
      <c r="AP362" s="476">
        <v>2.6445E-2</v>
      </c>
      <c r="AQ362" s="477">
        <v>0.19011499999999998</v>
      </c>
      <c r="AR362" s="184"/>
      <c r="AS362" s="184"/>
      <c r="AT362" s="184"/>
      <c r="AU362" s="184"/>
      <c r="AV362" s="184"/>
      <c r="AW362" s="184"/>
    </row>
    <row r="363" spans="1:49" ht="16">
      <c r="A363" s="82"/>
      <c r="B363" s="82"/>
      <c r="C363" s="82"/>
      <c r="D363" s="82"/>
      <c r="E363" s="363" t="s">
        <v>433</v>
      </c>
      <c r="F363" s="82"/>
      <c r="G363" s="82" t="s">
        <v>394</v>
      </c>
      <c r="H363" s="82" t="s">
        <v>434</v>
      </c>
      <c r="I363" s="476">
        <v>43</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2.9778065564794178</v>
      </c>
      <c r="AQ367" s="477">
        <v>3.1</v>
      </c>
      <c r="AR367" s="364"/>
      <c r="AS367" s="184"/>
      <c r="AT367" s="184"/>
      <c r="AU367" s="184"/>
      <c r="AV367" s="184"/>
      <c r="AW367" s="184"/>
    </row>
    <row r="368" spans="1:49" ht="16">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6">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0.41199999999999998</v>
      </c>
      <c r="AQ369" s="477">
        <v>0</v>
      </c>
      <c r="AR369" s="364"/>
      <c r="AS369" s="184"/>
      <c r="AT369" s="184"/>
      <c r="AU369" s="184"/>
      <c r="AV369" s="184"/>
      <c r="AW369" s="184"/>
    </row>
    <row r="370" spans="1:49" ht="16">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9.2764180650742869</v>
      </c>
      <c r="AQ371" s="477">
        <v>9.9076516067560423</v>
      </c>
      <c r="AR371" s="364"/>
      <c r="AS371" s="184"/>
      <c r="AT371" s="184"/>
      <c r="AU371" s="184"/>
      <c r="AV371" s="184"/>
      <c r="AW371" s="184"/>
    </row>
    <row r="372" spans="1:49" ht="16">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6">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6">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6">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0.17924521810699581</v>
      </c>
      <c r="AQ377" s="477">
        <v>0</v>
      </c>
      <c r="AR377" s="364"/>
      <c r="AS377" s="184"/>
      <c r="AT377" s="184"/>
      <c r="AU377" s="184"/>
      <c r="AV377" s="184"/>
      <c r="AW377" s="184"/>
    </row>
    <row r="378" spans="1:49" ht="16">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6.2918142857142853E-2</v>
      </c>
      <c r="AQ378" s="477">
        <v>0</v>
      </c>
      <c r="AR378" s="364"/>
      <c r="AS378" s="184"/>
      <c r="AT378" s="184"/>
      <c r="AU378" s="184"/>
      <c r="AV378" s="184"/>
      <c r="AW378" s="184"/>
    </row>
    <row r="379" spans="1:49" ht="16">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0.12835590379746831</v>
      </c>
      <c r="AQ379" s="477">
        <v>0.18356650157480323</v>
      </c>
      <c r="AR379" s="364"/>
      <c r="AS379" s="184"/>
      <c r="AT379" s="184"/>
      <c r="AU379" s="184"/>
      <c r="AV379" s="184"/>
      <c r="AW379" s="184"/>
    </row>
    <row r="380" spans="1:49" ht="16">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0.1793547533225284</v>
      </c>
      <c r="AQ380" s="477">
        <v>0.28926906929133861</v>
      </c>
      <c r="AR380" s="364"/>
      <c r="AS380" s="184"/>
      <c r="AT380" s="184"/>
      <c r="AU380" s="184"/>
      <c r="AV380" s="184"/>
      <c r="AW380" s="184"/>
    </row>
    <row r="381" spans="1:49" ht="16">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1.9773689999999999</v>
      </c>
      <c r="AQ384" s="477">
        <v>2.0779999999999998</v>
      </c>
      <c r="AR384" s="364"/>
      <c r="AS384" s="184"/>
      <c r="AT384" s="184"/>
      <c r="AU384" s="184"/>
      <c r="AV384" s="184"/>
      <c r="AW384" s="184"/>
    </row>
    <row r="385" spans="1:49" ht="16">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v>
      </c>
      <c r="AQ385" s="477">
        <v>1</v>
      </c>
      <c r="AR385" s="364"/>
      <c r="AS385" s="184"/>
      <c r="AT385" s="184"/>
      <c r="AU385" s="184"/>
      <c r="AV385" s="184"/>
      <c r="AW385" s="184"/>
    </row>
    <row r="386" spans="1:49" ht="16">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36.578758150000006</v>
      </c>
      <c r="AQ387" s="477">
        <v>37.1232592</v>
      </c>
      <c r="AR387" s="364"/>
      <c r="AS387" s="184"/>
      <c r="AT387" s="184"/>
      <c r="AU387" s="184"/>
      <c r="AV387" s="184"/>
      <c r="AW387" s="184"/>
    </row>
    <row r="388" spans="1:49" ht="16">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39.299999999999997</v>
      </c>
      <c r="AQ388" s="477">
        <v>39.299999999999997</v>
      </c>
      <c r="AR388" s="364"/>
      <c r="AS388" s="184"/>
      <c r="AT388" s="184"/>
      <c r="AU388" s="184"/>
      <c r="AV388" s="184"/>
      <c r="AW388" s="184"/>
    </row>
    <row r="389" spans="1:49" ht="16">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21.446964000000001</v>
      </c>
      <c r="AQ390" s="477">
        <v>22.565357879683813</v>
      </c>
      <c r="AR390" s="364"/>
      <c r="AS390" s="184"/>
      <c r="AT390" s="184"/>
      <c r="AU390" s="184"/>
      <c r="AV390" s="184"/>
      <c r="AW390" s="184"/>
    </row>
    <row r="391" spans="1:49" ht="16">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21.8</v>
      </c>
      <c r="AQ391" s="477">
        <v>21.5</v>
      </c>
      <c r="AR391" s="364"/>
      <c r="AS391" s="184"/>
      <c r="AT391" s="184"/>
      <c r="AU391" s="184"/>
      <c r="AV391" s="184"/>
      <c r="AW391" s="184"/>
    </row>
    <row r="392" spans="1:49" ht="16">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2.2310092300000002</v>
      </c>
      <c r="AQ393" s="477">
        <v>2.4654400954419997</v>
      </c>
      <c r="AR393" s="364"/>
      <c r="AS393" s="184"/>
      <c r="AT393" s="184"/>
      <c r="AU393" s="184"/>
      <c r="AV393" s="184"/>
      <c r="AW393" s="184"/>
    </row>
    <row r="394" spans="1:49" ht="16">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6">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1.3559367199999999</v>
      </c>
      <c r="AQ396" s="477">
        <v>1.3669798720040001</v>
      </c>
      <c r="AR396" s="364"/>
      <c r="AS396" s="184"/>
      <c r="AT396" s="184"/>
      <c r="AU396" s="184"/>
      <c r="AV396" s="184"/>
      <c r="AW396" s="184"/>
    </row>
    <row r="397" spans="1:49" ht="16">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6">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0</v>
      </c>
      <c r="AQ399" s="477">
        <v>0</v>
      </c>
      <c r="AR399" s="364"/>
      <c r="AS399" s="184"/>
      <c r="AT399" s="184"/>
      <c r="AU399" s="184"/>
      <c r="AV399" s="184"/>
      <c r="AW399" s="184"/>
    </row>
    <row r="400" spans="1:49" ht="16">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6">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6">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6">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6">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0.86829281000000003</v>
      </c>
      <c r="AQ411" s="477">
        <v>1.3081697499999905</v>
      </c>
      <c r="AR411" s="364"/>
      <c r="AS411" s="184"/>
      <c r="AT411" s="184"/>
      <c r="AU411" s="184"/>
      <c r="AV411" s="184"/>
      <c r="AW411" s="184"/>
    </row>
    <row r="412" spans="1:49" ht="16">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0.92268770833333325</v>
      </c>
      <c r="AP413" s="476">
        <v>1.8407718500000003</v>
      </c>
      <c r="AQ413" s="477">
        <v>3.8819858333333332E-2</v>
      </c>
      <c r="AR413" s="145"/>
      <c r="AS413" s="184"/>
      <c r="AT413" s="184"/>
      <c r="AU413" s="184"/>
      <c r="AV413" s="184"/>
      <c r="AW413" s="184"/>
    </row>
    <row r="414" spans="1:49" ht="16">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-7.6545141666666663E-2</v>
      </c>
      <c r="AR414" s="145"/>
      <c r="AS414" s="184"/>
      <c r="AT414" s="184"/>
      <c r="AU414" s="184"/>
      <c r="AV414" s="184"/>
      <c r="AW414" s="184"/>
    </row>
    <row r="415" spans="1:49" ht="16">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6">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row r="424" spans="1:49" ht="13.5" hidden="1"/>
    <row r="425" spans="1:49" ht="13.5" hidden="1"/>
    <row r="426" spans="1:49" ht="13.5" hidden="1"/>
    <row r="427" spans="1:49" ht="13.5" hidden="1"/>
    <row r="428" spans="1:49" ht="13.5" hidden="1"/>
    <row r="429" spans="1:49" ht="13.5" hidden="1"/>
    <row r="430" spans="1:49" ht="13.5" hidden="1"/>
    <row r="431" spans="1:49" ht="13.5" hidden="1"/>
    <row r="432" spans="1:49"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1811" ht="13.5" hidden="1"/>
    <row r="1824" ht="13.5" hidden="1"/>
    <row r="1825" ht="13.5" hidden="1"/>
    <row r="1826" ht="13.5" hidden="1"/>
    <row r="1827" ht="13.5" hidden="1"/>
    <row r="1839" ht="13.5" hidden="1"/>
    <row r="1840" ht="13.5" hidden="1"/>
    <row r="1841" ht="13.5" hidden="1"/>
    <row r="1842" ht="13.5" hidden="1"/>
    <row r="1843" ht="13.5" hidden="1"/>
    <row r="1847" ht="13.5" hidden="1"/>
    <row r="1848" ht="13.5" hidden="1"/>
    <row r="1849" ht="13.5" hidden="1"/>
    <row r="1850" ht="13.5" hidden="1"/>
    <row r="1851" ht="13.5" hidden="1"/>
    <row r="1852" ht="13.5" hidden="1"/>
    <row r="1853" ht="13.5" hidden="1"/>
    <row r="1854" ht="13.5" hidden="1"/>
    <row r="1855" ht="13.5" hidden="1"/>
    <row r="1856" ht="13.5" hidden="1"/>
    <row r="1857" ht="13.5" hidden="1"/>
    <row r="1858" ht="13.5" hidden="1"/>
    <row r="1859" ht="13.5" hidden="1"/>
    <row r="1860" ht="13.5" hidden="1"/>
    <row r="1861" ht="13.5" hidden="1"/>
    <row r="1862" ht="13.5" hidden="1"/>
    <row r="1863" ht="13.5" hidden="1"/>
    <row r="1864" ht="13.5" hidden="1"/>
    <row r="1865" ht="13.5" hidden="1"/>
    <row r="1866" ht="13.5" hidden="1"/>
    <row r="1867" ht="13.5" hidden="1"/>
    <row r="1868" ht="13.5" hidden="1"/>
    <row r="1869" ht="13.5" hidden="1"/>
    <row r="1870" ht="13.5" hidden="1"/>
    <row r="1871" ht="13.5" hidden="1"/>
    <row r="1872" ht="13.5" hidden="1"/>
    <row r="1873" ht="13.5" hidden="1"/>
    <row r="1874" ht="13.5" hidden="1"/>
    <row r="1875" ht="13.5" hidden="1"/>
    <row r="1876" ht="13.5" hidden="1"/>
    <row r="1877" ht="13.5" hidden="1"/>
    <row r="1878" ht="13.5" hidden="1"/>
    <row r="1879" ht="13.5" hidden="1"/>
    <row r="1880" ht="13.5" hidden="1"/>
    <row r="1881" ht="13.5" hidden="1"/>
    <row r="1882" ht="13.5" hidden="1"/>
    <row r="1883" ht="13.5" hidden="1"/>
    <row r="1884" ht="13.5" hidden="1"/>
    <row r="1885" ht="13.5" hidden="1"/>
    <row r="1886" ht="13.5" hidden="1"/>
    <row r="1887" ht="13.5" hidden="1"/>
    <row r="1888" ht="13.5" hidden="1"/>
    <row r="1889" ht="13.5" hidden="1"/>
    <row r="1890" ht="13.5" hidden="1"/>
    <row r="1891" ht="13.5" hidden="1"/>
    <row r="1892" ht="13.5" hidden="1"/>
    <row r="1893" ht="13.5" hidden="1"/>
    <row r="1894" ht="13.5" hidden="1"/>
    <row r="1895" ht="13.5" hidden="1"/>
    <row r="1896" ht="13.5" hidden="1"/>
    <row r="1897" ht="13.5" hidden="1"/>
    <row r="1898" ht="13.5" hidden="1"/>
    <row r="1899" ht="13.5" hidden="1"/>
    <row r="1900" ht="13.5" hidden="1"/>
    <row r="1901" ht="13.5" hidden="1"/>
    <row r="1902" ht="13.5" hidden="1"/>
    <row r="1903" ht="13.5" hidden="1"/>
    <row r="1904" ht="13.5" hidden="1"/>
    <row r="1905" ht="13.5" hidden="1"/>
    <row r="1906" ht="13.5" hidden="1"/>
    <row r="1907" ht="13.5" hidden="1"/>
    <row r="1908" ht="13.5" hidden="1"/>
    <row r="1909" ht="13.5" hidden="1"/>
    <row r="1910" ht="13.5" hidden="1"/>
    <row r="1911" ht="13.5" hidden="1"/>
    <row r="1912" ht="13.5" hidden="1"/>
    <row r="1913" ht="13.5" hidden="1"/>
    <row r="1914" ht="13.5" hidden="1"/>
    <row r="1915" ht="13.5" hidden="1"/>
    <row r="1916" ht="13.5" hidden="1"/>
    <row r="1917" ht="13.5" hidden="1"/>
    <row r="1918" ht="13.5" hidden="1"/>
    <row r="1919" ht="13.5" hidden="1"/>
    <row r="1920" ht="13.5" hidden="1"/>
    <row r="1921" ht="13.5" hidden="1"/>
    <row r="1922" ht="13.5" hidden="1"/>
    <row r="1923" ht="13.5" hidden="1"/>
    <row r="1924" ht="13.5" hidden="1"/>
    <row r="1925" ht="13.5" hidden="1"/>
    <row r="1926" ht="13.5" hidden="1"/>
    <row r="1927" ht="13.5" hidden="1"/>
    <row r="1928" ht="13.5" hidden="1"/>
    <row r="1929" ht="13.5" hidden="1"/>
    <row r="1930" ht="13.5" hidden="1"/>
    <row r="1931" ht="13.5" hidden="1"/>
    <row r="1932" ht="13.5" hidden="1"/>
    <row r="1933" ht="13.5" hidden="1"/>
    <row r="1934" ht="13.5" hidden="1"/>
    <row r="1935" ht="13.5" hidden="1"/>
    <row r="1936" ht="13.5" hidden="1"/>
    <row r="1937" ht="13.5" hidden="1"/>
    <row r="1938" ht="13.5" hidden="1"/>
    <row r="1939" ht="13.5" hidden="1"/>
    <row r="1940" ht="13.5" hidden="1"/>
    <row r="1941" ht="13.5" hidden="1"/>
    <row r="1942" ht="13.5" hidden="1"/>
    <row r="1943" ht="13.5" hidden="1"/>
    <row r="1944" ht="13.5" hidden="1"/>
    <row r="1945" ht="13.5" hidden="1"/>
    <row r="1946" ht="13.5" hidden="1"/>
    <row r="1947" ht="13.5" hidden="1"/>
    <row r="1948" ht="13.5" hidden="1"/>
    <row r="1949" ht="13.5" hidden="1"/>
    <row r="1950" ht="13.5" hidden="1"/>
    <row r="1951" ht="13.5" hidden="1"/>
    <row r="1952" ht="13.5" hidden="1"/>
    <row r="1953" ht="13.5" hidden="1"/>
    <row r="1954" ht="13.5" hidden="1"/>
    <row r="1955" ht="13.5" hidden="1"/>
    <row r="1956" ht="13.5" hidden="1"/>
    <row r="1957" ht="13.5" hidden="1"/>
    <row r="1958" ht="13.5" hidden="1"/>
    <row r="1959" ht="13.5" hidden="1"/>
    <row r="1960" ht="13.5" hidden="1"/>
    <row r="1961" ht="13.5" hidden="1"/>
    <row r="1962" ht="13.5" hidden="1"/>
    <row r="1963" ht="13.5" hidden="1"/>
    <row r="1964" ht="13.5" hidden="1"/>
    <row r="1965" ht="13.5" hidden="1"/>
    <row r="1966" ht="13.5" hidden="1"/>
    <row r="1967" ht="13.5" hidden="1"/>
    <row r="1968" ht="13.5" hidden="1"/>
    <row r="1969" ht="13.5" hidden="1"/>
    <row r="1970" ht="13.5" hidden="1"/>
    <row r="1971" ht="13.5" hidden="1"/>
    <row r="1972" ht="13.5" hidden="1"/>
    <row r="1973" ht="13.5" hidden="1"/>
    <row r="1974" ht="13.5" hidden="1"/>
    <row r="1975" ht="13.5" hidden="1"/>
    <row r="1976" ht="13.5" hidden="1"/>
    <row r="1977" ht="13.5" hidden="1"/>
    <row r="1978" ht="13.5" hidden="1"/>
    <row r="1979" ht="13.5" hidden="1"/>
    <row r="1980" ht="13.5" hidden="1"/>
    <row r="1981" ht="13.5" hidden="1"/>
    <row r="1982" ht="13.5" hidden="1"/>
    <row r="1983" ht="13.5" hidden="1"/>
    <row r="1984" ht="13.5" hidden="1"/>
    <row r="1985" ht="13.5" hidden="1"/>
    <row r="1986" ht="13.5" hidden="1"/>
    <row r="1987" ht="13.5" hidden="1"/>
    <row r="1988" ht="13.5" hidden="1"/>
    <row r="1989" ht="13.5" hidden="1"/>
    <row r="1990" ht="13.5" hidden="1"/>
    <row r="1991" ht="13.5" hidden="1"/>
    <row r="1992" ht="13.5" hidden="1"/>
    <row r="1993" ht="13.5" hidden="1"/>
    <row r="1994" ht="13.5" hidden="1"/>
    <row r="1995" ht="13.5" hidden="1"/>
    <row r="1996" ht="13.5" hidden="1"/>
    <row r="1997" ht="13.5" hidden="1"/>
    <row r="1998" ht="13.5" hidden="1"/>
    <row r="1999" ht="13.5" hidden="1"/>
    <row r="2000" ht="13.5" hidden="1"/>
    <row r="2001" ht="13.5" hidden="1"/>
    <row r="2002" ht="13.5" hidden="1"/>
    <row r="2003" ht="13.5" hidden="1"/>
    <row r="2004" ht="13.5" hidden="1"/>
    <row r="2005" ht="13.5" hidden="1"/>
    <row r="2006" ht="13.5" hidden="1"/>
    <row r="2007" ht="13.5" hidden="1"/>
    <row r="2008" ht="13.5" hidden="1"/>
    <row r="2009" ht="13.5" hidden="1"/>
    <row r="2010" ht="13.5" hidden="1"/>
    <row r="2011" ht="13.5" hidden="1"/>
    <row r="2012" ht="13.5" hidden="1"/>
    <row r="2013" ht="13.5" hidden="1"/>
    <row r="2014" ht="13.5" hidden="1"/>
    <row r="2015" ht="13.5" hidden="1"/>
    <row r="2016" ht="13.5" hidden="1"/>
    <row r="2017" ht="13.5" hidden="1"/>
    <row r="2018" ht="13.5" hidden="1"/>
    <row r="2019" ht="13.5" hidden="1"/>
    <row r="2020" ht="13.5" hidden="1"/>
    <row r="2021" ht="13.5" hidden="1"/>
    <row r="2022" ht="13.5" hidden="1"/>
    <row r="2023" ht="13.5" hidden="1"/>
    <row r="2024" ht="13.5" hidden="1"/>
    <row r="2025" ht="13.5" hidden="1"/>
    <row r="2026" ht="13.5" hidden="1"/>
    <row r="2027" ht="13.5" hidden="1"/>
    <row r="2028" ht="13.5" hidden="1"/>
    <row r="2029" ht="13.5" hidden="1"/>
    <row r="2030" ht="13.5" hidden="1"/>
    <row r="2031" ht="13.5" hidden="1"/>
    <row r="2032" ht="13.5" hidden="1"/>
    <row r="2033" ht="13.5" hidden="1"/>
    <row r="2034" ht="13.5" hidden="1"/>
    <row r="2035" ht="13.5" hidden="1"/>
    <row r="2036" ht="13.5" hidden="1"/>
    <row r="2037" ht="13.5" hidden="1"/>
    <row r="2038" ht="13.5" hidden="1"/>
    <row r="2039" ht="13.5" hidden="1"/>
    <row r="2040" ht="13.5" hidden="1"/>
    <row r="2041" ht="13.5" hidden="1"/>
    <row r="2042" ht="13.5" hidden="1"/>
    <row r="2043" ht="13.5" hidden="1"/>
    <row r="2044" ht="13.5" hidden="1"/>
    <row r="2045" ht="13.5" hidden="1"/>
    <row r="2046" ht="13.5" hidden="1"/>
    <row r="2047" ht="13.5" hidden="1"/>
    <row r="2048" ht="13.5" hidden="1"/>
    <row r="2049" ht="13.5" hidden="1"/>
    <row r="2050" ht="13.5" hidden="1"/>
    <row r="2051" ht="13.5" hidden="1"/>
    <row r="2052" ht="13.5" hidden="1"/>
    <row r="2053" ht="13.5" hidden="1"/>
    <row r="2054" ht="13.5" hidden="1"/>
    <row r="2055" ht="13.5" hidden="1"/>
    <row r="2056" ht="13.5" hidden="1"/>
    <row r="2057" ht="13.5" hidden="1"/>
    <row r="2058" ht="13.5" hidden="1"/>
    <row r="2059" ht="13.5" hidden="1"/>
    <row r="2060" ht="13.5" hidden="1"/>
    <row r="2061" ht="13.5" hidden="1"/>
    <row r="2062" ht="13.5" hidden="1"/>
    <row r="2063" ht="13.5" hidden="1"/>
    <row r="2064" ht="13.5" hidden="1"/>
    <row r="2065" ht="13.5" hidden="1"/>
    <row r="2066" ht="13.5" hidden="1"/>
    <row r="2067" ht="13.5" hidden="1"/>
    <row r="2068" ht="13.5" hidden="1"/>
    <row r="2069" ht="13.5" hidden="1"/>
    <row r="2070" ht="13.5" hidden="1"/>
    <row r="2071" ht="13.5" hidden="1"/>
    <row r="2072" ht="13.5" hidden="1"/>
    <row r="2073" ht="13.5" hidden="1"/>
    <row r="2074" ht="13.5" hidden="1"/>
    <row r="2075" ht="13.5" hidden="1"/>
    <row r="2076" ht="13.5" hidden="1"/>
    <row r="2077" ht="13.5" hidden="1"/>
    <row r="2078" ht="13.5" hidden="1"/>
    <row r="2079" ht="13.5" hidden="1"/>
    <row r="2080" ht="13.5" hidden="1"/>
    <row r="2081" ht="13.5" hidden="1"/>
    <row r="2082" ht="13.5" hidden="1"/>
    <row r="2083" ht="13.5" hidden="1"/>
    <row r="2084" ht="13.5" hidden="1"/>
    <row r="2085" ht="13.5" hidden="1"/>
    <row r="2086" ht="13.5" hidden="1"/>
    <row r="2087" ht="13.5" hidden="1"/>
    <row r="2088" ht="13.5" hidden="1"/>
    <row r="2089" ht="13.5" hidden="1"/>
    <row r="2090" ht="13.5" hidden="1"/>
    <row r="2091" ht="13.5" hidden="1"/>
    <row r="2092" ht="13.5" hidden="1"/>
    <row r="2093" ht="13.5" hidden="1"/>
    <row r="2094" ht="13.5" hidden="1"/>
    <row r="2095" ht="13.5" hidden="1"/>
    <row r="2096" ht="13.5" hidden="1"/>
    <row r="2097" ht="13.5" hidden="1"/>
    <row r="2098" ht="13.5" hidden="1"/>
    <row r="2099" ht="13.5" hidden="1"/>
    <row r="2100" ht="13.5" hidden="1"/>
    <row r="2101" ht="13.5" hidden="1"/>
    <row r="2102" ht="13.5" hidden="1"/>
    <row r="2103" ht="13.5" hidden="1"/>
    <row r="2104" ht="13.5" hidden="1"/>
    <row r="2105" ht="13.5" hidden="1"/>
    <row r="2106" ht="13.5" hidden="1"/>
    <row r="2107" ht="13.5" hidden="1"/>
    <row r="2108" ht="13.5" hidden="1"/>
    <row r="2109" ht="13.5" hidden="1"/>
    <row r="2110" ht="13.5" hidden="1"/>
    <row r="2111" ht="13.5" hidden="1"/>
    <row r="2112" ht="13.5" hidden="1"/>
    <row r="2113" ht="13.5" hidden="1"/>
    <row r="2114" ht="13.5" hidden="1"/>
    <row r="2115" ht="13.5" hidden="1"/>
    <row r="2116" ht="13.5" hidden="1"/>
    <row r="2117" ht="13.5" hidden="1"/>
    <row r="2118" ht="13.5" hidden="1"/>
    <row r="2119" ht="13.5" hidden="1"/>
    <row r="2120" ht="13.5" hidden="1"/>
    <row r="2121" ht="13.5" hidden="1"/>
    <row r="2122" ht="13.5" hidden="1"/>
    <row r="2123" ht="13.5" hidden="1"/>
    <row r="2124" ht="13.5" hidden="1"/>
    <row r="2125" ht="13.5" hidden="1"/>
    <row r="2126" ht="13.5" hidden="1"/>
    <row r="2127" ht="13.5" hidden="1"/>
    <row r="2128" ht="13.5" hidden="1"/>
    <row r="2129" ht="13.5" hidden="1"/>
    <row r="2130" ht="13.5" hidden="1"/>
    <row r="2131" ht="13.5" hidden="1"/>
    <row r="2132" ht="13.5" hidden="1"/>
    <row r="2133" ht="13.5" hidden="1"/>
    <row r="2134" ht="13.5" hidden="1"/>
    <row r="2135" ht="13.5" hidden="1"/>
    <row r="2136" ht="13.5" hidden="1"/>
    <row r="2137" ht="13.5" hidden="1"/>
    <row r="2138" ht="13.5" hidden="1"/>
    <row r="2139" ht="13.5" hidden="1"/>
    <row r="2140" ht="13.5" hidden="1"/>
    <row r="2141" ht="13.5" hidden="1"/>
    <row r="2142" ht="13.5" hidden="1"/>
    <row r="2143" ht="13.5" hidden="1"/>
    <row r="2144" ht="13.5" hidden="1"/>
    <row r="2145" ht="13.5" hidden="1"/>
    <row r="2146" ht="13.5" hidden="1"/>
    <row r="2147" ht="13.5" hidden="1"/>
    <row r="2148" ht="13.5" hidden="1"/>
    <row r="2149" ht="13.5" hidden="1"/>
    <row r="2150" ht="13.5" hidden="1"/>
    <row r="2151" ht="13.5" hidden="1"/>
    <row r="2152" ht="13.5" hidden="1"/>
    <row r="2153" ht="13.5" hidden="1"/>
    <row r="2154" ht="13.5" hidden="1"/>
    <row r="2155" ht="13.5" hidden="1"/>
    <row r="2156" ht="13.5" hidden="1"/>
    <row r="2157" ht="13.5" hidden="1"/>
    <row r="2158" ht="13.5" hidden="1"/>
    <row r="2159" ht="13.5" hidden="1"/>
    <row r="2160" ht="13.5" hidden="1"/>
    <row r="2161" ht="13.5" hidden="1"/>
    <row r="2162" ht="13.5" hidden="1"/>
    <row r="2163" ht="13.5" hidden="1"/>
    <row r="2164" ht="13.5" hidden="1"/>
    <row r="2165" ht="13.5" hidden="1"/>
    <row r="2166" ht="13.5" hidden="1"/>
    <row r="2167" ht="13.5" hidden="1"/>
    <row r="2168" ht="13.5" hidden="1"/>
    <row r="2169" ht="13.5" hidden="1"/>
    <row r="2170" ht="13.5" hidden="1"/>
    <row r="2171" ht="13.5" hidden="1"/>
    <row r="2172" ht="13.5" hidden="1"/>
    <row r="2173" ht="13.5" hidden="1"/>
    <row r="2174" ht="13.5" hidden="1"/>
    <row r="2175" ht="13.5" hidden="1"/>
    <row r="2176" ht="13.5" hidden="1"/>
    <row r="2177" ht="13.5" hidden="1"/>
    <row r="2178" ht="13.5" hidden="1"/>
    <row r="2179" ht="13.5" hidden="1"/>
    <row r="2180" ht="13.5" hidden="1"/>
    <row r="2181" ht="13.5" hidden="1"/>
    <row r="2182" ht="13.5" hidden="1"/>
    <row r="2183" ht="13.5" hidden="1"/>
    <row r="2184" ht="13.5" hidden="1"/>
    <row r="2185" ht="13.5" hidden="1"/>
    <row r="2186" ht="13.5" hidden="1"/>
    <row r="2187" ht="13.5" hidden="1"/>
    <row r="2188" ht="13.5" hidden="1"/>
    <row r="2189" ht="13.5" hidden="1"/>
    <row r="2190" ht="13.5" hidden="1"/>
    <row r="2191" ht="13.5" hidden="1"/>
    <row r="2192" ht="13.5" hidden="1"/>
    <row r="2193" ht="13.5" hidden="1"/>
    <row r="2194" ht="13.5" hidden="1"/>
    <row r="2195" ht="13.5" hidden="1"/>
    <row r="2196" ht="13.5" hidden="1"/>
    <row r="2197" ht="13.5" hidden="1"/>
    <row r="2198" ht="13.5" hidden="1"/>
    <row r="2199" ht="13.5" hidden="1"/>
    <row r="2200" ht="13.5" hidden="1"/>
    <row r="2201" ht="13.5" hidden="1"/>
    <row r="2202" ht="13.5" hidden="1"/>
    <row r="2203" ht="13.5" hidden="1"/>
    <row r="2204" ht="13.5" hidden="1"/>
    <row r="2205" ht="13.5" hidden="1"/>
    <row r="2206" ht="13.5" hidden="1"/>
    <row r="2207" ht="13.5" hidden="1"/>
    <row r="2208" ht="13.5" hidden="1"/>
    <row r="2209" ht="13.5" hidden="1"/>
    <row r="2210" ht="13.5" hidden="1"/>
    <row r="2211" ht="13.5" hidden="1"/>
    <row r="2212" ht="13.5" hidden="1"/>
    <row r="2213" ht="13.5" hidden="1"/>
    <row r="2214" ht="13.5" hidden="1"/>
    <row r="2215" ht="13.5" hidden="1"/>
    <row r="2216" ht="13.5" hidden="1"/>
    <row r="2217" ht="13.5" hidden="1"/>
    <row r="2218" ht="13.5" hidden="1"/>
    <row r="2219" ht="13.5" hidden="1"/>
    <row r="2220" ht="13.5" hidden="1"/>
    <row r="2221" ht="13.5" hidden="1"/>
    <row r="2222" ht="13.5" hidden="1"/>
    <row r="2223" ht="13.5" hidden="1"/>
    <row r="2224" ht="13.5" hidden="1"/>
    <row r="2225" ht="13.5" hidden="1"/>
    <row r="2226" ht="13.5" hidden="1"/>
    <row r="2227" ht="13.5" hidden="1"/>
    <row r="2228" ht="13.5" hidden="1"/>
    <row r="2229" ht="13.5" hidden="1"/>
    <row r="2230" ht="13.5" hidden="1"/>
    <row r="2231" ht="13.5" hidden="1"/>
    <row r="2232" ht="13.5" hidden="1"/>
    <row r="2233" ht="13.5" hidden="1"/>
    <row r="2234" ht="13.5" hidden="1"/>
    <row r="2235" ht="13.5" hidden="1"/>
    <row r="2236" ht="13.5" hidden="1"/>
    <row r="2237" ht="13.5" hidden="1"/>
    <row r="2238" ht="13.5" hidden="1"/>
    <row r="2239" ht="13.5" hidden="1"/>
    <row r="2240" ht="13.5" hidden="1"/>
    <row r="2241" ht="13.5" hidden="1"/>
    <row r="2242" ht="13.5" hidden="1"/>
    <row r="2243" ht="13.5" hidden="1"/>
    <row r="2244" ht="13.5" hidden="1"/>
    <row r="2245" ht="13.5" hidden="1"/>
    <row r="2246" ht="13.5" hidden="1"/>
    <row r="2247" ht="13.5" hidden="1"/>
    <row r="2248" ht="13.5" hidden="1"/>
    <row r="2249" ht="13.5" hidden="1"/>
    <row r="2250" ht="13.5" hidden="1"/>
    <row r="2251" ht="13.5" hidden="1"/>
    <row r="2252" ht="13.5" hidden="1"/>
    <row r="2253" ht="13.5" hidden="1"/>
    <row r="2254" ht="13.5" hidden="1"/>
    <row r="2255" ht="13.5" hidden="1"/>
    <row r="2256" ht="13.5" hidden="1"/>
    <row r="2257" ht="13.5" hidden="1"/>
    <row r="2258" ht="13.5" hidden="1"/>
    <row r="2259" ht="13.5" hidden="1"/>
    <row r="2260" ht="13.5" hidden="1"/>
    <row r="2261" ht="13.5" hidden="1"/>
    <row r="2262" ht="13.5" hidden="1"/>
    <row r="2263" ht="13.5" hidden="1"/>
    <row r="2264" ht="13.5" hidden="1"/>
    <row r="2265" ht="13.5" hidden="1"/>
    <row r="2266" ht="13.5" hidden="1"/>
    <row r="2267" ht="13.5" hidden="1"/>
    <row r="2268" ht="13.5" hidden="1"/>
    <row r="2269" ht="13.5" hidden="1"/>
    <row r="2270" ht="13.5" hidden="1"/>
    <row r="2271" ht="13.5" hidden="1"/>
    <row r="2272" ht="13.5" hidden="1"/>
    <row r="2273" ht="13.5" hidden="1"/>
    <row r="2274" ht="13.5" hidden="1"/>
    <row r="2275" ht="13.5" hidden="1"/>
    <row r="2276" ht="13.5" hidden="1"/>
    <row r="2277" ht="13.5" hidden="1"/>
    <row r="2278" ht="13.5" hidden="1"/>
    <row r="2279" ht="13.5" hidden="1"/>
    <row r="2280" ht="13.5" hidden="1"/>
    <row r="2281" ht="13.5" hidden="1"/>
    <row r="2282" ht="13.5" hidden="1"/>
    <row r="2283" ht="13.5" hidden="1"/>
    <row r="2284" ht="13.5" hidden="1"/>
    <row r="2285" ht="13.5" hidden="1"/>
    <row r="2286" ht="13.5" hidden="1"/>
    <row r="2287" ht="13.5" hidden="1"/>
    <row r="2288" ht="13.5" hidden="1"/>
    <row r="2289" ht="13.5" hidden="1"/>
    <row r="2290" ht="13.5" hidden="1"/>
    <row r="2291" ht="13.5" hidden="1"/>
    <row r="2292" ht="13.5" hidden="1"/>
    <row r="2293" ht="13.5" hidden="1"/>
    <row r="2294" ht="13.5" hidden="1"/>
    <row r="2295" ht="13.5" hidden="1"/>
    <row r="2296" ht="13.5" hidden="1"/>
    <row r="2297" ht="13.5" hidden="1"/>
    <row r="2298" ht="13.5" hidden="1"/>
    <row r="2299" ht="13.5" hidden="1"/>
    <row r="2300" ht="13.5" hidden="1"/>
    <row r="2301" ht="13.5" hidden="1"/>
    <row r="2302" ht="13.5" hidden="1"/>
    <row r="2303" ht="13.5" hidden="1"/>
    <row r="2304" ht="13.5" hidden="1"/>
    <row r="2305" ht="13.5" hidden="1"/>
    <row r="2306" ht="13.5" hidden="1"/>
    <row r="2307" ht="13.5" hidden="1"/>
    <row r="2308" ht="13.5" hidden="1"/>
    <row r="2309" ht="13.5" hidden="1"/>
    <row r="2310" ht="13.5" hidden="1"/>
    <row r="2311" ht="13.5" hidden="1"/>
    <row r="2312" ht="13.5" hidden="1"/>
    <row r="2313" ht="13.5" hidden="1"/>
    <row r="2314" ht="13.5" hidden="1"/>
    <row r="2315" ht="13.5" hidden="1"/>
    <row r="2316" ht="13.5" hidden="1"/>
    <row r="2317" ht="13.5" hidden="1"/>
    <row r="2318" ht="13.5" hidden="1"/>
    <row r="2319" ht="13.5" hidden="1"/>
    <row r="2320" ht="13.5" hidden="1"/>
    <row r="2321" ht="13.5" hidden="1"/>
    <row r="2322" ht="13.5" hidden="1"/>
    <row r="2323" ht="13.5" hidden="1"/>
    <row r="2324" ht="13.5" hidden="1"/>
    <row r="2325" ht="13.5" hidden="1"/>
    <row r="2326" ht="13.5" hidden="1"/>
    <row r="2327" ht="13.5" hidden="1"/>
    <row r="2328" ht="13.5" hidden="1"/>
    <row r="2329" ht="13.5" hidden="1"/>
    <row r="2330" ht="13.5" hidden="1"/>
    <row r="2331" ht="13.5" hidden="1"/>
    <row r="2332" ht="13.5" hidden="1"/>
    <row r="2333" ht="13.5" hidden="1"/>
    <row r="2334" ht="13.5" hidden="1"/>
    <row r="2335" ht="13.5" hidden="1"/>
    <row r="2336" ht="13.5" hidden="1"/>
    <row r="2337" ht="13.5" hidden="1"/>
    <row r="2338" ht="13.5" hidden="1"/>
    <row r="2339" ht="13.5" hidden="1"/>
    <row r="2340" ht="13.5" hidden="1"/>
    <row r="2341" ht="13.5" hidden="1"/>
    <row r="2342" ht="13.5" hidden="1"/>
    <row r="2343" ht="13.5" hidden="1"/>
    <row r="2344" ht="13.5" hidden="1"/>
    <row r="2345" ht="13.5" hidden="1"/>
    <row r="2346" ht="13.5" hidden="1"/>
    <row r="2347" ht="13.5" hidden="1"/>
    <row r="2348" ht="13.5" hidden="1"/>
    <row r="2349" ht="13.5" hidden="1"/>
    <row r="2350" ht="13.5" hidden="1"/>
    <row r="2351" ht="13.5" hidden="1"/>
    <row r="2352" ht="13.5" hidden="1"/>
    <row r="2353" ht="13.5" hidden="1"/>
    <row r="2354" ht="13.5" hidden="1"/>
    <row r="2355" ht="13.5" hidden="1"/>
    <row r="2356" ht="13.5" hidden="1"/>
    <row r="2357" ht="13.5" hidden="1"/>
    <row r="2358" ht="13.5" hidden="1"/>
    <row r="2359" ht="13.5" hidden="1"/>
    <row r="2360" ht="13.5" hidden="1"/>
    <row r="2361" ht="13.5" hidden="1"/>
    <row r="2362" ht="13.5" hidden="1"/>
    <row r="2363" ht="13.5" hidden="1"/>
    <row r="2364" ht="13.5" hidden="1"/>
    <row r="2365" ht="13.5" hidden="1"/>
    <row r="2366" ht="13.5" hidden="1"/>
    <row r="2367" ht="13.5" hidden="1"/>
    <row r="2368" ht="13.5" hidden="1"/>
    <row r="2369" ht="13.5" hidden="1"/>
    <row r="2370" ht="13.5" hidden="1"/>
    <row r="2371" ht="13.5" hidden="1"/>
    <row r="2372" ht="13.5" hidden="1"/>
    <row r="2373" ht="13.5" hidden="1"/>
    <row r="2374" ht="13.5" hidden="1"/>
    <row r="2375" ht="13.5" hidden="1"/>
    <row r="2376" ht="13.5" hidden="1"/>
    <row r="2377" ht="13.5" hidden="1"/>
    <row r="2378" ht="13.5" hidden="1"/>
    <row r="2379" ht="13.5" hidden="1"/>
    <row r="2380" ht="13.5" hidden="1"/>
    <row r="2381" ht="13.5" hidden="1"/>
    <row r="2382" ht="13.5" hidden="1"/>
    <row r="2383" ht="13.5" hidden="1"/>
    <row r="2384" ht="13.5" hidden="1"/>
    <row r="2385" ht="13.5" hidden="1"/>
    <row r="2386" ht="13.5" hidden="1"/>
    <row r="2387" ht="13.5" hidden="1"/>
    <row r="2388" ht="13.5" hidden="1"/>
    <row r="2389" ht="13.5" hidden="1"/>
    <row r="2390" ht="13.5" hidden="1"/>
    <row r="2391" ht="13.5" hidden="1"/>
    <row r="2392" ht="13.5" hidden="1"/>
    <row r="2393" ht="13.5" hidden="1"/>
    <row r="2394" ht="13.5" hidden="1"/>
    <row r="2395" ht="13.5" hidden="1"/>
    <row r="2396" ht="13.5" hidden="1"/>
    <row r="2397" ht="13.5" hidden="1"/>
    <row r="2398" ht="13.5" hidden="1"/>
    <row r="2399" ht="13.5" hidden="1"/>
    <row r="2400" ht="13.5" hidden="1"/>
    <row r="2401" ht="13.5" hidden="1"/>
    <row r="2402" ht="13.5" hidden="1"/>
    <row r="2403" ht="13.5" hidden="1"/>
    <row r="2404" ht="13.5" hidden="1"/>
    <row r="2405" ht="13.5" hidden="1"/>
    <row r="2406" ht="13.5" hidden="1"/>
    <row r="2407" ht="13.5" hidden="1"/>
    <row r="2408" ht="13.5" hidden="1"/>
    <row r="2409" ht="13.5" hidden="1"/>
    <row r="2410" ht="13.5" hidden="1"/>
    <row r="2411" ht="13.5" hidden="1"/>
    <row r="2412" ht="13.5" hidden="1"/>
    <row r="2413" ht="13.5" hidden="1"/>
    <row r="2414" ht="13.5" hidden="1"/>
    <row r="2415" ht="13.5" hidden="1"/>
    <row r="2416" ht="13.5" hidden="1"/>
    <row r="2417" ht="13.5" hidden="1"/>
    <row r="2418" ht="13.5" hidden="1"/>
    <row r="2419" ht="13.5" hidden="1"/>
    <row r="2420" ht="13.5" hidden="1"/>
    <row r="2421" ht="13.5" hidden="1"/>
    <row r="2422" ht="13.5" hidden="1"/>
    <row r="2423" ht="13.5" hidden="1"/>
    <row r="2424" ht="13.5" hidden="1"/>
    <row r="2425" ht="13.5" hidden="1"/>
    <row r="2426" ht="13.5" hidden="1"/>
    <row r="2427" ht="13.5" hidden="1"/>
    <row r="2428" ht="13.5" hidden="1"/>
    <row r="2429" ht="13.5" hidden="1"/>
    <row r="2430" ht="13.5" hidden="1"/>
    <row r="2431" ht="13.5" hidden="1"/>
    <row r="2432" ht="13.5" hidden="1"/>
    <row r="2433" ht="13.5" hidden="1"/>
    <row r="2434" ht="13.5" hidden="1"/>
    <row r="2435" ht="13.5" hidden="1"/>
    <row r="2436" ht="13.5" hidden="1"/>
    <row r="2437" ht="13.5" hidden="1"/>
    <row r="2438" ht="13.5" hidden="1"/>
    <row r="2439" ht="13.5" hidden="1"/>
    <row r="2440" ht="13.5" hidden="1"/>
    <row r="2441" ht="13.5" hidden="1"/>
    <row r="2442" ht="13.5" hidden="1"/>
    <row r="2443" ht="13.5" hidden="1"/>
    <row r="2444" ht="13.5" hidden="1"/>
    <row r="2445" ht="13.5" hidden="1"/>
    <row r="2446" ht="13.5" hidden="1"/>
    <row r="2447" ht="13.5" hidden="1"/>
    <row r="2448" ht="13.5" hidden="1"/>
    <row r="2449" ht="13.5" hidden="1"/>
    <row r="2450" ht="13.5" hidden="1"/>
    <row r="2451" ht="13.5" hidden="1"/>
    <row r="2452" ht="13.5" hidden="1"/>
    <row r="2453" ht="13.5" hidden="1"/>
    <row r="2454" ht="13.5" hidden="1"/>
    <row r="2455" ht="13.5" hidden="1"/>
    <row r="2456" ht="13.5" hidden="1"/>
    <row r="2457" ht="13.5" hidden="1"/>
    <row r="2458" ht="13.5" hidden="1"/>
    <row r="2459" ht="13.5" hidden="1"/>
    <row r="2460" ht="13.5" hidden="1"/>
    <row r="2461" ht="13.5" hidden="1"/>
    <row r="2462" ht="13.5" hidden="1"/>
    <row r="2463" ht="13.5" hidden="1"/>
    <row r="2464" ht="13.5" hidden="1"/>
    <row r="2465" ht="13.5" hidden="1"/>
    <row r="2466" ht="13.5" hidden="1"/>
    <row r="2467" ht="13.5" hidden="1"/>
    <row r="2468" ht="13.5" hidden="1"/>
    <row r="2469" ht="13.5" hidden="1"/>
    <row r="2470" ht="13.5" hidden="1"/>
    <row r="2471" ht="13.5" hidden="1"/>
    <row r="2472" ht="13.5" hidden="1"/>
    <row r="2473" ht="13.5" hidden="1"/>
    <row r="2474" ht="13.5" hidden="1"/>
    <row r="2475" ht="13.5" hidden="1"/>
    <row r="2476" ht="13.5" hidden="1"/>
    <row r="2477" ht="13.5" hidden="1"/>
    <row r="2478" ht="13.5" hidden="1"/>
    <row r="2479" ht="13.5" hidden="1"/>
    <row r="2480" ht="13.5" hidden="1"/>
    <row r="2481" ht="13.5" hidden="1"/>
    <row r="2482" ht="13.5" hidden="1"/>
    <row r="2483" ht="13.5" hidden="1"/>
    <row r="2484" ht="13.5" hidden="1"/>
    <row r="2485" ht="13.5" hidden="1"/>
    <row r="2486" ht="13.5" hidden="1"/>
    <row r="2487" ht="13.5" hidden="1"/>
    <row r="2488" ht="13.5" hidden="1"/>
    <row r="2489" ht="13.5" hidden="1"/>
    <row r="2490" ht="13.5" hidden="1"/>
    <row r="2491" ht="13.5" hidden="1"/>
    <row r="2492" ht="13.5" hidden="1"/>
    <row r="2493" ht="13.5" hidden="1"/>
    <row r="2494" ht="13.5" hidden="1"/>
    <row r="2495" ht="13.5" hidden="1"/>
    <row r="2496" ht="13.5" hidden="1"/>
    <row r="2497" ht="13.5" hidden="1"/>
    <row r="2498" ht="13.5" hidden="1"/>
    <row r="2499" ht="13.5" hidden="1"/>
    <row r="2500" ht="13.5" hidden="1"/>
    <row r="2501" ht="13.5" hidden="1"/>
    <row r="2502" ht="13.5" hidden="1"/>
    <row r="2503" ht="13.5" hidden="1"/>
    <row r="2504" ht="13.5" hidden="1"/>
    <row r="2505" ht="13.5" hidden="1"/>
    <row r="2506" ht="13.5" hidden="1"/>
    <row r="2507" ht="13.5" hidden="1"/>
    <row r="2508" ht="13.5" hidden="1"/>
    <row r="2509" ht="13.5" hidden="1"/>
    <row r="2510" ht="13.5" hidden="1"/>
    <row r="2511" ht="13.5" hidden="1"/>
    <row r="2512" ht="13.5" hidden="1"/>
    <row r="2513" ht="13.5" hidden="1"/>
    <row r="2514" ht="13.5" hidden="1"/>
    <row r="2515" ht="13.5" hidden="1"/>
    <row r="2516" ht="13.5" hidden="1"/>
    <row r="2517" ht="13.5" hidden="1"/>
    <row r="2518" ht="13.5" hidden="1"/>
    <row r="2519" ht="13.5" hidden="1"/>
    <row r="2520" ht="13.5" hidden="1"/>
    <row r="2521" ht="13.5" hidden="1"/>
    <row r="2522" ht="13.5" hidden="1"/>
    <row r="2523" ht="13.5" hidden="1"/>
    <row r="2524" ht="13.5" hidden="1"/>
    <row r="2525" ht="13.5" hidden="1"/>
    <row r="2526" ht="13.5" hidden="1"/>
    <row r="2527" ht="13.5" hidden="1"/>
    <row r="2528" ht="13.5" hidden="1"/>
    <row r="2529" ht="13.5" hidden="1"/>
    <row r="2530" ht="13.5" hidden="1"/>
    <row r="2531" ht="13.5" hidden="1"/>
    <row r="2532" ht="13.5" hidden="1"/>
    <row r="2533" ht="13.5" hidden="1"/>
    <row r="2534" ht="13.5" hidden="1"/>
    <row r="2535" ht="13.5" hidden="1"/>
    <row r="2536" ht="13.5" hidden="1"/>
    <row r="2537" ht="13.5" hidden="1"/>
    <row r="2538" ht="13.5" hidden="1"/>
    <row r="2539" ht="13.5" hidden="1"/>
    <row r="2540" ht="13.5" hidden="1"/>
    <row r="2541" ht="13.5" hidden="1"/>
    <row r="2542" ht="13.5" hidden="1"/>
    <row r="2543" ht="13.5" hidden="1"/>
    <row r="2544" ht="13.5" hidden="1"/>
    <row r="2545" ht="13.5" hidden="1"/>
    <row r="2546" ht="13.5" hidden="1"/>
    <row r="2547" ht="13.5" hidden="1"/>
    <row r="2548" ht="13.5" hidden="1"/>
    <row r="2549" ht="13.5" hidden="1"/>
    <row r="2550" ht="13.5" hidden="1"/>
    <row r="2551" ht="13.5" hidden="1"/>
    <row r="2552" ht="13.5" hidden="1"/>
    <row r="2553" ht="13.5" hidden="1"/>
    <row r="2554" ht="13.5" hidden="1"/>
    <row r="2555" ht="13.5" hidden="1"/>
    <row r="2556" ht="13.5" hidden="1"/>
    <row r="2557" ht="13.5" hidden="1"/>
    <row r="2558" ht="13.5" hidden="1"/>
    <row r="2559" ht="13.5" hidden="1"/>
    <row r="2560" ht="13.5" hidden="1"/>
    <row r="2561" ht="13.5" hidden="1"/>
    <row r="2562" ht="13.5" hidden="1"/>
    <row r="2563" ht="13.5" hidden="1"/>
    <row r="2564" ht="13.5" hidden="1"/>
    <row r="2565" ht="13.5" hidden="1"/>
    <row r="2566" ht="13.5" hidden="1"/>
    <row r="2567" ht="13.5" hidden="1"/>
    <row r="2568" ht="13.5" hidden="1"/>
    <row r="2569" ht="13.5" hidden="1"/>
    <row r="2570" ht="13.5" hidden="1"/>
    <row r="2571" ht="13.5" hidden="1"/>
    <row r="2572" ht="13.5" hidden="1"/>
    <row r="2573" ht="13.5" hidden="1"/>
    <row r="2574" ht="13.5" hidden="1"/>
    <row r="2575" ht="13.5" hidden="1"/>
    <row r="2576" ht="13.5" hidden="1"/>
    <row r="2577" ht="13.5" hidden="1"/>
    <row r="2578" ht="13.5" hidden="1"/>
    <row r="2579" ht="13.5" hidden="1"/>
    <row r="2580" ht="13.5" hidden="1"/>
    <row r="2581" ht="13.5" hidden="1"/>
    <row r="2582" ht="13.5" hidden="1"/>
    <row r="2583" ht="13.5" hidden="1"/>
    <row r="2584" ht="13.5" hidden="1"/>
    <row r="2585" ht="13.5" hidden="1"/>
    <row r="2586" ht="13.5" hidden="1"/>
    <row r="2587" ht="13.5" hidden="1"/>
    <row r="2588" ht="13.5" hidden="1"/>
    <row r="2589" ht="13.5" hidden="1"/>
    <row r="2590" ht="13.5" hidden="1"/>
    <row r="2591" ht="13.5" hidden="1"/>
    <row r="2592" ht="13.5" hidden="1"/>
    <row r="2593" ht="13.5" hidden="1"/>
    <row r="2594" ht="13.5" hidden="1"/>
    <row r="2595" ht="13.5" hidden="1"/>
    <row r="2596" ht="13.5" hidden="1"/>
    <row r="2597" ht="13.5" hidden="1"/>
    <row r="2598" ht="13.5" hidden="1"/>
    <row r="2599" ht="13.5" hidden="1"/>
    <row r="2600" ht="13.5" hidden="1"/>
    <row r="2601" ht="13.5" hidden="1"/>
    <row r="2602" ht="13.5" hidden="1"/>
    <row r="2603" ht="13.5" hidden="1"/>
    <row r="2604" ht="13.5" hidden="1"/>
    <row r="2605" ht="13.5" hidden="1"/>
    <row r="2606" ht="13.5" hidden="1"/>
    <row r="2607" ht="13.5" hidden="1"/>
    <row r="2608" ht="13.5" hidden="1"/>
    <row r="2609" ht="13.5" hidden="1"/>
    <row r="2610" ht="13.5" hidden="1"/>
    <row r="2611" ht="13.5" hidden="1"/>
    <row r="2612" ht="13.5" hidden="1"/>
    <row r="2613" ht="13.5" hidden="1"/>
    <row r="2614" ht="13.5" hidden="1"/>
    <row r="2615" ht="13.5" hidden="1"/>
    <row r="2616" ht="13.5" hidden="1"/>
    <row r="2617" ht="13.5" hidden="1"/>
    <row r="2618" ht="13.5" hidden="1"/>
    <row r="2619" ht="13.5" hidden="1"/>
    <row r="2620" ht="13.5" hidden="1"/>
    <row r="2621" ht="13.5" hidden="1"/>
    <row r="2622" ht="13.5" hidden="1"/>
    <row r="2623" ht="13.5" hidden="1"/>
    <row r="2624" ht="13.5" hidden="1"/>
    <row r="2625" ht="13.5" hidden="1"/>
    <row r="2626" ht="13.5" hidden="1"/>
    <row r="2627" ht="13.5" hidden="1"/>
    <row r="2628" ht="13.5" hidden="1"/>
    <row r="2629" ht="13.5" hidden="1"/>
    <row r="2630" ht="13.5" hidden="1"/>
    <row r="2631" ht="13.5" hidden="1"/>
    <row r="2632" ht="13.5" hidden="1"/>
    <row r="2633" ht="13.5" hidden="1"/>
    <row r="2634" ht="13.5" hidden="1"/>
    <row r="2635" ht="13.5" hidden="1"/>
    <row r="2636" ht="13.5" hidden="1"/>
    <row r="2637" ht="13.5" hidden="1"/>
    <row r="2638" ht="13.5" hidden="1"/>
    <row r="2639" ht="13.5" hidden="1"/>
    <row r="2640" ht="13.5" hidden="1"/>
    <row r="2641" ht="13.5" hidden="1"/>
    <row r="2642" ht="13.5" hidden="1"/>
    <row r="2643" ht="13.5" hidden="1"/>
    <row r="2644" ht="13.5" hidden="1"/>
    <row r="2645" ht="13.5" hidden="1"/>
    <row r="2646" ht="13.5" hidden="1"/>
    <row r="2647" ht="13.5" hidden="1"/>
    <row r="2648" ht="13.5" hidden="1"/>
    <row r="2649" ht="13.5" hidden="1"/>
    <row r="2650" ht="13.5" hidden="1"/>
    <row r="2651" ht="13.5" hidden="1"/>
    <row r="2652" ht="13.5" hidden="1"/>
    <row r="2653" ht="13.5" hidden="1"/>
    <row r="2654" ht="13.5" hidden="1"/>
    <row r="2655" ht="13.5" hidden="1"/>
    <row r="2656" ht="13.5" hidden="1"/>
    <row r="2657" ht="13.5" hidden="1"/>
    <row r="2658" ht="13.5" hidden="1"/>
    <row r="2659" ht="13.5" hidden="1"/>
    <row r="2660" ht="13.5" hidden="1"/>
    <row r="2661" ht="13.5" hidden="1"/>
    <row r="2662" ht="13.5" hidden="1"/>
    <row r="2663" ht="13.5" hidden="1"/>
    <row r="2664" ht="13.5" hidden="1"/>
    <row r="2665" ht="13.5" hidden="1"/>
    <row r="2666" ht="13.5" hidden="1"/>
    <row r="2667" ht="13.5" hidden="1"/>
    <row r="2668" ht="13.5" hidden="1"/>
    <row r="2669" ht="13.5" hidden="1"/>
    <row r="2670" ht="13.5" hidden="1"/>
    <row r="2671" ht="13.5" hidden="1"/>
    <row r="2672" ht="13.5" hidden="1"/>
    <row r="2673" ht="13.5" hidden="1"/>
    <row r="2674" ht="13.5" hidden="1"/>
    <row r="2675" ht="13.5" hidden="1"/>
    <row r="2676" ht="13.5" hidden="1"/>
    <row r="2677" ht="13.5" hidden="1"/>
    <row r="2678" ht="13.5" hidden="1"/>
    <row r="2679" ht="13.5" hidden="1"/>
    <row r="2680" ht="13.5" hidden="1"/>
    <row r="2681" ht="13.5" hidden="1"/>
    <row r="2682" ht="13.5" hidden="1"/>
    <row r="2683" ht="13.5" hidden="1"/>
    <row r="2684" ht="13.5" hidden="1"/>
    <row r="2685" ht="13.5" hidden="1"/>
    <row r="2686" ht="13.5" hidden="1"/>
    <row r="2687" ht="13.5" hidden="1"/>
    <row r="2688" ht="13.5" hidden="1"/>
    <row r="2689" ht="13.5" hidden="1"/>
    <row r="2690" ht="13.5" hidden="1"/>
    <row r="2691" ht="13.5" hidden="1"/>
    <row r="2692" ht="13.5" hidden="1"/>
    <row r="2693" ht="13.5" hidden="1"/>
    <row r="2694" ht="13.5" hidden="1"/>
    <row r="2695" ht="13.5" hidden="1"/>
    <row r="2696" ht="13.5" hidden="1"/>
    <row r="2697" ht="13.5" hidden="1"/>
    <row r="2698" ht="13.5" hidden="1"/>
    <row r="2699" ht="13.5" hidden="1"/>
    <row r="2700" ht="13.5" hidden="1"/>
    <row r="2701" ht="13.5" hidden="1"/>
    <row r="2702" ht="13.5" hidden="1"/>
    <row r="2703" ht="13.5" hidden="1"/>
    <row r="2704" ht="13.5" hidden="1"/>
    <row r="2705" ht="13.5" hidden="1"/>
    <row r="2706" ht="13.5" hidden="1"/>
    <row r="2707" ht="13.5" hidden="1"/>
    <row r="2708" ht="13.5" hidden="1"/>
    <row r="2709" ht="13.5" hidden="1"/>
    <row r="2710" ht="13.5" hidden="1"/>
    <row r="2711" ht="13.5" hidden="1"/>
    <row r="2712" ht="13.5" hidden="1"/>
    <row r="2713" ht="13.5" hidden="1"/>
    <row r="2714" ht="13.5" hidden="1"/>
    <row r="2715" ht="13.5" hidden="1"/>
    <row r="2716" ht="13.5" hidden="1"/>
    <row r="2717" ht="13.5" hidden="1"/>
    <row r="2718" ht="13.5" hidden="1"/>
    <row r="2719" ht="13.5" hidden="1"/>
    <row r="2720" ht="13.5" hidden="1"/>
    <row r="2721" ht="13.5" hidden="1"/>
    <row r="2722" ht="13.5" hidden="1"/>
    <row r="2723" ht="13.5" hidden="1"/>
    <row r="2724" ht="13.5" hidden="1"/>
    <row r="2725" ht="13.5" hidden="1"/>
    <row r="2726" ht="13.5" hidden="1"/>
    <row r="2727" ht="13.5" hidden="1"/>
    <row r="2728" ht="13.5" hidden="1"/>
    <row r="2729" ht="13.5" hidden="1"/>
    <row r="2730" ht="13.5" hidden="1"/>
    <row r="2731" ht="13.5" hidden="1"/>
    <row r="2732" ht="13.5" hidden="1"/>
    <row r="2733" ht="13.5" hidden="1"/>
    <row r="2734" ht="13.5" hidden="1"/>
    <row r="2735" ht="13.5" hidden="1"/>
    <row r="2736" ht="13.5" hidden="1"/>
    <row r="2737" ht="13.5" hidden="1"/>
    <row r="2738" ht="13.5" hidden="1"/>
    <row r="2739" ht="13.5" hidden="1"/>
    <row r="2740" ht="13.5" hidden="1"/>
    <row r="2741" ht="13.5" hidden="1"/>
    <row r="2742" ht="13.5" hidden="1"/>
    <row r="2743" ht="13.5" hidden="1"/>
    <row r="2744" ht="13.5" hidden="1"/>
    <row r="2745" ht="13.5" hidden="1"/>
    <row r="2746" ht="13.5" hidden="1"/>
    <row r="2747" ht="13.5" hidden="1"/>
    <row r="2748" ht="13.5" hidden="1"/>
    <row r="2749" ht="13.5" hidden="1"/>
    <row r="2750" ht="13.5" hidden="1"/>
    <row r="2751" ht="13.5" hidden="1"/>
    <row r="2752" ht="13.5" hidden="1"/>
    <row r="2753" ht="13.5" hidden="1"/>
    <row r="2754" ht="13.5" hidden="1"/>
    <row r="2755" ht="13.5" hidden="1"/>
    <row r="2756" ht="13.5" hidden="1"/>
    <row r="2757" ht="13.5" hidden="1"/>
    <row r="2758" ht="13.5" hidden="1"/>
    <row r="2759" ht="13.5" hidden="1"/>
    <row r="2760" ht="13.5" hidden="1"/>
    <row r="2761" ht="13.5" hidden="1"/>
    <row r="2762" ht="13.5" hidden="1"/>
    <row r="2763" ht="13.5" hidden="1"/>
    <row r="2764" ht="13.5" hidden="1"/>
    <row r="2765" ht="13.5" hidden="1"/>
    <row r="2766" ht="13.5" hidden="1"/>
    <row r="2767" ht="13.5" hidden="1"/>
    <row r="2768" ht="13.5" hidden="1"/>
    <row r="2769" ht="13.5" hidden="1"/>
    <row r="2770" ht="13.5" hidden="1"/>
    <row r="2771" ht="13.5" hidden="1"/>
    <row r="2772" ht="13.5" hidden="1"/>
    <row r="2773" ht="13.5" hidden="1"/>
    <row r="2774" ht="13.5" hidden="1"/>
    <row r="2775" ht="13.5" hidden="1"/>
    <row r="2776" ht="13.5" hidden="1"/>
    <row r="2777" ht="13.5" hidden="1"/>
    <row r="2778" ht="13.5" hidden="1"/>
    <row r="2779" ht="13.5" hidden="1"/>
    <row r="2780" ht="13.5" hidden="1"/>
    <row r="2781" ht="13.5" hidden="1"/>
    <row r="2782" ht="13.5" hidden="1"/>
    <row r="2783" ht="13.5" hidden="1"/>
    <row r="2784" ht="13.5" hidden="1"/>
    <row r="2785" ht="13.5" hidden="1"/>
    <row r="2786" ht="13.5" hidden="1"/>
    <row r="2787" ht="13.5" hidden="1"/>
    <row r="2788" ht="13.5" hidden="1"/>
    <row r="2789" ht="13.5" hidden="1"/>
    <row r="2790" ht="13.5" hidden="1"/>
    <row r="2791" ht="13.5" hidden="1"/>
    <row r="2792" ht="13.5" hidden="1"/>
    <row r="2793" ht="13.5" hidden="1"/>
    <row r="2794" ht="13.5" hidden="1"/>
    <row r="2795" ht="13.5" hidden="1"/>
    <row r="2796" ht="13.5" hidden="1"/>
    <row r="2797" ht="13.5" hidden="1"/>
    <row r="2798" ht="13.5" hidden="1"/>
    <row r="2799" ht="13.5" hidden="1"/>
    <row r="2800" ht="13.5" hidden="1"/>
    <row r="2801" ht="13.5" hidden="1"/>
    <row r="2802" ht="13.5" hidden="1"/>
    <row r="2803" ht="13.5" hidden="1"/>
    <row r="2804" ht="13.5" hidden="1"/>
    <row r="2805" ht="13.5" hidden="1"/>
    <row r="2806" ht="13.5" hidden="1"/>
    <row r="2807" ht="13.5" hidden="1"/>
    <row r="2808" ht="13.5" hidden="1"/>
    <row r="2809" ht="13.5" hidden="1"/>
    <row r="2810" ht="13.5" hidden="1"/>
    <row r="2811" ht="13.5" hidden="1"/>
    <row r="2812" ht="13.5" hidden="1"/>
    <row r="2813" ht="13.5" hidden="1"/>
    <row r="2814" ht="13.5" hidden="1"/>
    <row r="2815" ht="13.5" hidden="1"/>
    <row r="2816" ht="13.5" hidden="1"/>
    <row r="2817" ht="13.5" hidden="1"/>
    <row r="2818" ht="13.5" hidden="1"/>
    <row r="2819" ht="13.5" hidden="1"/>
    <row r="2820" ht="13.5" hidden="1"/>
    <row r="2821" ht="13.5" hidden="1"/>
    <row r="2822" ht="13.5" hidden="1"/>
    <row r="2823" ht="13.5" hidden="1"/>
    <row r="2824" ht="13.5" hidden="1"/>
    <row r="2825" ht="13.5" hidden="1"/>
    <row r="2826" ht="13.5" hidden="1"/>
    <row r="2827" ht="13.5" hidden="1"/>
    <row r="2828" ht="13.5" hidden="1"/>
    <row r="2829" ht="13.5" hidden="1"/>
    <row r="2830" ht="13.5" hidden="1"/>
    <row r="2831" ht="13.5" hidden="1"/>
    <row r="2832" ht="13.5" hidden="1"/>
    <row r="2833" ht="13.5" hidden="1"/>
    <row r="2834" ht="13.5" hidden="1"/>
    <row r="2835" ht="13.5" hidden="1"/>
    <row r="2836" ht="13.5" hidden="1"/>
    <row r="2837" ht="13.5" hidden="1"/>
    <row r="2838" ht="13.5" hidden="1"/>
    <row r="2839" ht="13.5" hidden="1"/>
    <row r="2840" ht="13.5" hidden="1"/>
    <row r="2841" ht="13.5" hidden="1"/>
    <row r="2842" ht="13.5" hidden="1"/>
    <row r="2843" ht="13.5" hidden="1"/>
    <row r="2844" ht="13.5" hidden="1"/>
    <row r="2845" ht="13.5" hidden="1"/>
    <row r="2846" ht="13.5" hidden="1"/>
    <row r="2847" ht="13.5" hidden="1"/>
    <row r="2848" ht="13.5" hidden="1"/>
    <row r="2849" ht="13.5" hidden="1"/>
    <row r="2850" ht="13.5" hidden="1"/>
    <row r="2851" ht="13.5" hidden="1"/>
    <row r="2852" ht="13.5" hidden="1"/>
    <row r="2853" ht="13.5" hidden="1"/>
    <row r="2854" ht="13.5" hidden="1"/>
    <row r="2855" ht="13.5" hidden="1"/>
    <row r="2856" ht="13.5" hidden="1"/>
    <row r="2857" ht="13.5" hidden="1"/>
    <row r="2858" ht="13.5" hidden="1"/>
    <row r="2859" ht="13.5" hidden="1"/>
    <row r="2860" ht="13.5" hidden="1"/>
    <row r="2861" ht="13.5" hidden="1"/>
    <row r="2862" ht="13.5" hidden="1"/>
    <row r="2863" ht="13.5" hidden="1"/>
    <row r="2864" ht="13.5" hidden="1"/>
    <row r="2865" ht="13.5" hidden="1"/>
    <row r="2866" ht="13.5" hidden="1"/>
    <row r="2867" ht="13.5" hidden="1"/>
    <row r="2868" ht="13.5" hidden="1"/>
    <row r="2869" ht="13.5" hidden="1"/>
    <row r="2870" ht="13.5" hidden="1"/>
    <row r="2871" ht="13.5" hidden="1"/>
    <row r="2872" ht="13.5" hidden="1"/>
    <row r="2873" ht="13.5" hidden="1"/>
    <row r="2874" ht="13.5" hidden="1"/>
    <row r="2875" ht="13.5" hidden="1"/>
    <row r="2876" ht="13.5" hidden="1"/>
    <row r="2877" ht="13.5" hidden="1"/>
    <row r="2878" ht="13.5" hidden="1"/>
    <row r="2879" ht="13.5" hidden="1"/>
    <row r="2880" ht="13.5" hidden="1"/>
    <row r="2881" ht="13.5" hidden="1"/>
    <row r="2882" ht="13.5" hidden="1"/>
    <row r="2883" ht="13.5" hidden="1"/>
    <row r="2884" ht="13.5" hidden="1"/>
    <row r="2885" ht="13.5" hidden="1"/>
    <row r="2886" ht="13.5" hidden="1"/>
    <row r="2887" ht="13.5" hidden="1"/>
    <row r="2888" ht="13.5" hidden="1"/>
    <row r="2889" ht="13.5" hidden="1"/>
    <row r="2890" ht="13.5" hidden="1"/>
    <row r="2891" ht="13.5" hidden="1"/>
    <row r="2892" ht="13.5" hidden="1"/>
    <row r="2893" ht="13.5" hidden="1"/>
    <row r="2894" ht="13.5" hidden="1"/>
    <row r="2895" ht="13.5" hidden="1"/>
    <row r="2896" ht="13.5" hidden="1"/>
    <row r="2897" ht="13.5" hidden="1"/>
    <row r="2898" ht="13.5" hidden="1"/>
    <row r="2899" ht="13.5" hidden="1"/>
    <row r="2900" ht="13.5" hidden="1"/>
    <row r="2901" ht="13.5" hidden="1"/>
    <row r="2902" ht="13.5" hidden="1"/>
    <row r="2903" ht="13.5" hidden="1"/>
    <row r="2904" ht="13.5" hidden="1"/>
    <row r="2905" ht="13.5" hidden="1"/>
    <row r="2906" ht="13.5" hidden="1"/>
    <row r="2907" ht="13.5" hidden="1"/>
    <row r="2908" ht="13.5" hidden="1"/>
    <row r="2909" ht="13.5" hidden="1"/>
    <row r="2910" ht="13.5" hidden="1"/>
    <row r="2911" ht="13.5" hidden="1"/>
    <row r="2912" ht="13.5" hidden="1"/>
    <row r="2913" ht="13.5" hidden="1"/>
    <row r="2914" ht="13.5" hidden="1"/>
    <row r="2915" ht="13.5" hidden="1"/>
    <row r="2916" ht="13.5" hidden="1"/>
    <row r="2917" ht="13.5" hidden="1"/>
    <row r="2918" ht="13.5" hidden="1"/>
    <row r="2919" ht="13.5" hidden="1"/>
    <row r="2920" ht="13.5" hidden="1"/>
    <row r="2921" ht="13.5" hidden="1"/>
    <row r="2922" ht="13.5" hidden="1"/>
    <row r="2923" ht="13.5" hidden="1"/>
    <row r="2924" ht="13.5" hidden="1"/>
    <row r="2925" ht="13.5" hidden="1"/>
    <row r="2926" ht="13.5" hidden="1"/>
    <row r="2927" ht="13.5" hidden="1"/>
    <row r="2928" ht="13.5" hidden="1"/>
    <row r="2929" ht="13.5" hidden="1"/>
    <row r="2930" ht="13.5" hidden="1"/>
    <row r="2931" ht="13.5" hidden="1"/>
    <row r="2932" ht="13.5" hidden="1"/>
    <row r="2933" ht="13.5" hidden="1"/>
    <row r="2934" ht="13.5" hidden="1"/>
    <row r="2935" ht="13.5" hidden="1"/>
    <row r="2936" ht="13.5" hidden="1"/>
    <row r="2937" ht="13.5" hidden="1"/>
    <row r="2938" ht="13.5" hidden="1"/>
    <row r="2939" ht="13.5" hidden="1"/>
    <row r="2940" ht="13.5" hidden="1"/>
    <row r="2941" ht="13.5" hidden="1"/>
    <row r="2942" ht="13.5" hidden="1"/>
    <row r="2943" ht="13.5" hidden="1"/>
    <row r="2944" ht="13.5" hidden="1"/>
    <row r="2945" ht="13.5" hidden="1"/>
    <row r="2946" ht="13.5" hidden="1"/>
    <row r="2947" ht="13.5" hidden="1"/>
    <row r="2948" ht="13.5" hidden="1"/>
    <row r="2949" ht="13.5" hidden="1"/>
    <row r="2950" ht="13.5" hidden="1"/>
    <row r="2951" ht="13.5" hidden="1"/>
    <row r="2952" ht="13.5" hidden="1"/>
    <row r="2953" ht="13.5" hidden="1"/>
    <row r="2954" ht="13.5" hidden="1"/>
    <row r="2955" ht="13.5" hidden="1"/>
    <row r="2956" ht="13.5" hidden="1"/>
    <row r="2957" ht="13.5" hidden="1"/>
    <row r="2958" ht="13.5" hidden="1"/>
    <row r="2959" ht="13.5" hidden="1"/>
    <row r="2960" ht="13.5" hidden="1"/>
    <row r="2961" ht="13.5" hidden="1"/>
    <row r="2962" ht="13.5" hidden="1"/>
    <row r="2963" ht="13.5" hidden="1"/>
    <row r="2964" ht="13.5" hidden="1"/>
    <row r="2965" ht="13.5" hidden="1"/>
    <row r="2966" ht="13.5" hidden="1"/>
    <row r="2967" ht="13.5" hidden="1"/>
    <row r="2968" ht="13.5" hidden="1"/>
    <row r="2969" ht="13.5" hidden="1"/>
    <row r="2970" ht="13.5" hidden="1"/>
    <row r="2971" ht="13.5" hidden="1"/>
    <row r="2972" ht="13.5" hidden="1"/>
    <row r="2973" ht="13.5" hidden="1"/>
    <row r="2974" ht="13.5" hidden="1"/>
    <row r="2975" ht="13.5" hidden="1"/>
    <row r="2976" ht="13.5" hidden="1"/>
    <row r="2977" ht="13.5" hidden="1"/>
    <row r="2978" ht="13.5" hidden="1"/>
    <row r="2979" ht="13.5" hidden="1"/>
    <row r="2980" ht="13.5" hidden="1"/>
    <row r="2981" ht="13.5" hidden="1"/>
    <row r="2982" ht="13.5" hidden="1"/>
    <row r="2983" ht="13.5" hidden="1"/>
    <row r="2984" ht="13.5" hidden="1"/>
    <row r="2985" ht="13.5" hidden="1"/>
    <row r="2986" ht="13.5" hidden="1"/>
    <row r="2987" ht="13.5" hidden="1"/>
    <row r="2988" ht="13.5" hidden="1"/>
    <row r="2989" ht="13.5" hidden="1"/>
    <row r="2990" ht="13.5" hidden="1"/>
    <row r="2991" ht="13.5" hidden="1"/>
    <row r="2992" ht="13.5" hidden="1"/>
    <row r="2993" ht="13.5" hidden="1"/>
    <row r="2994" ht="13.5" hidden="1"/>
    <row r="2995" ht="13.5" hidden="1"/>
    <row r="2996" ht="13.5" hidden="1"/>
    <row r="2997" ht="13.5" hidden="1"/>
    <row r="2998" ht="13.5" hidden="1"/>
    <row r="2999" ht="13.5" hidden="1"/>
    <row r="3000" ht="13.5" hidden="1"/>
    <row r="3001" ht="13.5" hidden="1"/>
    <row r="3002" ht="13.5" hidden="1"/>
    <row r="3003" ht="13.5" hidden="1"/>
    <row r="3004" ht="13.5" hidden="1"/>
    <row r="3005" ht="13.5" hidden="1"/>
    <row r="3006" ht="13.5" hidden="1"/>
    <row r="3007" ht="13.5" hidden="1"/>
    <row r="3008" ht="13.5" hidden="1"/>
    <row r="3009" ht="13.5" hidden="1"/>
    <row r="3010" ht="13.5" hidden="1"/>
    <row r="3011" ht="13.5" hidden="1"/>
    <row r="3012" ht="13.5" hidden="1"/>
    <row r="3013" ht="13.5" hidden="1"/>
    <row r="3014" ht="13.5" hidden="1"/>
    <row r="3015" ht="13.5" hidden="1"/>
    <row r="3016" ht="13.5" hidden="1"/>
    <row r="3017" ht="13.5" hidden="1"/>
    <row r="3018" ht="13.5" hidden="1"/>
    <row r="3019" ht="13.5" hidden="1"/>
    <row r="3020" ht="13.5" hidden="1"/>
    <row r="3021" ht="13.5" hidden="1"/>
    <row r="3022" ht="13.5" hidden="1"/>
    <row r="3023" ht="13.5" hidden="1"/>
    <row r="3024" ht="13.5" hidden="1"/>
    <row r="3025" ht="13.5" hidden="1"/>
    <row r="3026" ht="13.5" hidden="1"/>
    <row r="3027" ht="13.5" hidden="1"/>
    <row r="3028" ht="13.5" hidden="1"/>
    <row r="3029" ht="13.5" hidden="1"/>
    <row r="3030" ht="13.5" hidden="1"/>
    <row r="3031" ht="13.5" hidden="1"/>
    <row r="3032" ht="13.5" hidden="1"/>
    <row r="3033" ht="13.5" hidden="1"/>
    <row r="3034" ht="13.5" hidden="1"/>
    <row r="3035" ht="13.5" hidden="1"/>
    <row r="3036" ht="13.5" hidden="1"/>
    <row r="3037" ht="13.5" hidden="1"/>
    <row r="3038" ht="13.5" hidden="1"/>
    <row r="3039" ht="13.5" hidden="1"/>
    <row r="3040" ht="13.5" hidden="1"/>
    <row r="3041" ht="13.5" hidden="1"/>
    <row r="3042" ht="13.5" hidden="1"/>
    <row r="3043" ht="13.5" hidden="1"/>
    <row r="3044" ht="13.5" hidden="1"/>
    <row r="3045" ht="13.5" hidden="1"/>
    <row r="3046" ht="13.5" hidden="1"/>
    <row r="3047" ht="13.5" hidden="1"/>
    <row r="3048" ht="13.5" hidden="1"/>
    <row r="3049" ht="13.5" hidden="1"/>
    <row r="3050" ht="13.5" hidden="1"/>
    <row r="3051" ht="13.5" hidden="1"/>
    <row r="3052" ht="13.5" hidden="1"/>
    <row r="3053" ht="13.5" hidden="1"/>
    <row r="3054" ht="13.5" hidden="1"/>
    <row r="3055" ht="13.5" hidden="1"/>
    <row r="3056" ht="13.5" hidden="1"/>
    <row r="3057" ht="13.5" hidden="1"/>
    <row r="3058" ht="13.5" hidden="1"/>
    <row r="3059" ht="13.5" hidden="1"/>
    <row r="3060" ht="13.5" hidden="1"/>
    <row r="3061" ht="13.5" hidden="1"/>
    <row r="3062" ht="13.5" hidden="1"/>
    <row r="3063" ht="13.5" hidden="1"/>
    <row r="3064" ht="13.5" hidden="1"/>
    <row r="3065" ht="13.5" hidden="1"/>
    <row r="3066" ht="13.5" hidden="1"/>
    <row r="3067" ht="13.5" hidden="1"/>
    <row r="3068" ht="13.5" hidden="1"/>
    <row r="3069" ht="13.5" hidden="1"/>
    <row r="3070" ht="13.5" hidden="1"/>
    <row r="3071" ht="13.5" hidden="1"/>
    <row r="3072" ht="13.5" hidden="1"/>
    <row r="3073" ht="13.5" hidden="1"/>
    <row r="3074" ht="13.5" hidden="1"/>
    <row r="3075" ht="13.5" hidden="1"/>
    <row r="3076" ht="13.5" hidden="1"/>
    <row r="3077" ht="13.5" hidden="1"/>
    <row r="3078" ht="13.5" hidden="1"/>
    <row r="3079" ht="13.5" hidden="1"/>
    <row r="3080" ht="13.5" hidden="1"/>
    <row r="3081" ht="13.5" hidden="1"/>
    <row r="3082" ht="13.5" hidden="1"/>
    <row r="3083" ht="13.5" hidden="1"/>
    <row r="3084" ht="13.5" hidden="1"/>
    <row r="3085" ht="13.5" hidden="1"/>
    <row r="3086" ht="13.5" hidden="1"/>
    <row r="3087" ht="13.5" hidden="1"/>
    <row r="3088" ht="13.5" hidden="1"/>
    <row r="3089" ht="13.5" hidden="1"/>
    <row r="3090" ht="13.5" hidden="1"/>
    <row r="3091" ht="13.5" hidden="1"/>
    <row r="3092" ht="13.5" hidden="1"/>
    <row r="3093" ht="13.5" hidden="1"/>
    <row r="3094" ht="13.5" hidden="1"/>
    <row r="3095" ht="13.5" hidden="1"/>
    <row r="3096" ht="13.5" hidden="1"/>
    <row r="3097" ht="13.5" hidden="1"/>
    <row r="3098" ht="13.5" hidden="1"/>
    <row r="3099" ht="13.5" hidden="1"/>
    <row r="3100" ht="13.5" hidden="1"/>
    <row r="3101" ht="13.5" hidden="1"/>
    <row r="3102" ht="13.5" hidden="1"/>
    <row r="3103" ht="13.5" hidden="1"/>
    <row r="3104" ht="13.5" hidden="1"/>
    <row r="3105" ht="13.5" hidden="1"/>
    <row r="3106" ht="13.5" hidden="1"/>
    <row r="3107" ht="13.5" hidden="1"/>
    <row r="3108" ht="13.5" hidden="1"/>
    <row r="3109" ht="13.5" hidden="1"/>
    <row r="3110" ht="13.5" hidden="1"/>
    <row r="3111" ht="13.5" hidden="1"/>
    <row r="3112" ht="13.5" hidden="1"/>
    <row r="3113" ht="13.5" hidden="1"/>
    <row r="3114" ht="13.5" hidden="1"/>
    <row r="3115" ht="13.5" hidden="1"/>
    <row r="3116" ht="13.5" hidden="1"/>
    <row r="3117" ht="13.5" hidden="1"/>
    <row r="3118" ht="13.5" hidden="1"/>
    <row r="3119" ht="13.5" hidden="1"/>
    <row r="3120" ht="13.5" hidden="1"/>
    <row r="3121" ht="13.5" hidden="1"/>
    <row r="3122" ht="13.5" hidden="1"/>
    <row r="3123" ht="13.5" hidden="1"/>
    <row r="3124" ht="13.5" hidden="1"/>
    <row r="3125" ht="13.5" hidden="1"/>
    <row r="3126" ht="13.5" hidden="1"/>
    <row r="3127" ht="13.5" hidden="1"/>
    <row r="3128" ht="13.5" hidden="1"/>
    <row r="3129" ht="13.5" hidden="1"/>
    <row r="3130" ht="13.5" hidden="1"/>
    <row r="3131" ht="13.5" hidden="1"/>
    <row r="3132" ht="13.5" hidden="1"/>
    <row r="3133" ht="13.5" hidden="1"/>
    <row r="3134" ht="13.5" hidden="1"/>
    <row r="3135" ht="13.5" hidden="1"/>
    <row r="3136" ht="13.5" hidden="1"/>
    <row r="3137" ht="13.5" hidden="1"/>
    <row r="3138" ht="13.5" hidden="1"/>
    <row r="3139" ht="13.5" hidden="1"/>
    <row r="3140" ht="13.5" hidden="1"/>
    <row r="3141" ht="13.5" hidden="1"/>
    <row r="3142" ht="13.5" hidden="1"/>
    <row r="3143" ht="13.5" hidden="1"/>
    <row r="3144" ht="13.5" hidden="1"/>
    <row r="3145" ht="13.5" hidden="1"/>
    <row r="3146" ht="13.5" hidden="1"/>
    <row r="3147" ht="13.5" hidden="1"/>
    <row r="3148" ht="13.5" hidden="1"/>
    <row r="3149" ht="13.5" hidden="1"/>
    <row r="3150" ht="13.5" hidden="1"/>
    <row r="3151" ht="13.5" hidden="1"/>
    <row r="3152" ht="13.5" hidden="1"/>
    <row r="3153" ht="13.5" hidden="1"/>
    <row r="3154" ht="13.5" hidden="1"/>
    <row r="3155" ht="13.5" hidden="1"/>
    <row r="3156" ht="13.5" hidden="1"/>
    <row r="3157" ht="13.5" hidden="1"/>
    <row r="3158" ht="13.5" hidden="1"/>
    <row r="3159" ht="13.5" hidden="1"/>
    <row r="3160" ht="13.5" hidden="1"/>
    <row r="3161" ht="13.5" hidden="1"/>
    <row r="3162" ht="13.5" hidden="1"/>
    <row r="3163" ht="13.5" hidden="1"/>
    <row r="3164" ht="13.5" hidden="1"/>
    <row r="3165" ht="13.5" hidden="1"/>
    <row r="3166" ht="13.5" hidden="1"/>
    <row r="3167" ht="13.5" hidden="1"/>
    <row r="3168" ht="13.5" hidden="1"/>
    <row r="3169" ht="13.5" hidden="1"/>
    <row r="3170" ht="13.5" hidden="1"/>
    <row r="3171" ht="13.5" hidden="1"/>
    <row r="3172" ht="13.5" hidden="1"/>
    <row r="3173" ht="13.5" hidden="1"/>
    <row r="3174" ht="13.5" hidden="1"/>
    <row r="3175" ht="13.5" hidden="1"/>
    <row r="3176" ht="13.5" hidden="1"/>
    <row r="3177" ht="13.5" hidden="1"/>
    <row r="3178" ht="13.5" hidden="1"/>
    <row r="3179" ht="13.5" hidden="1"/>
    <row r="3180" ht="13.5" hidden="1"/>
    <row r="3181" ht="13.5" hidden="1"/>
    <row r="3182" ht="13.5" hidden="1"/>
    <row r="3183" ht="13.5" hidden="1"/>
    <row r="3184" ht="13.5" hidden="1"/>
    <row r="3185" ht="13.5" hidden="1"/>
    <row r="3186" ht="13.5" hidden="1"/>
    <row r="3187" ht="13.5" hidden="1"/>
    <row r="3188" ht="13.5" hidden="1"/>
    <row r="3189" ht="13.5" hidden="1"/>
    <row r="3190" ht="13.5" hidden="1"/>
    <row r="3191" ht="13.5" hidden="1"/>
    <row r="3192" ht="13.5" hidden="1"/>
    <row r="3193" ht="13.5" hidden="1"/>
    <row r="3194" ht="13.5" hidden="1"/>
    <row r="3195" ht="13.5" hidden="1"/>
    <row r="3196" ht="13.5" hidden="1"/>
    <row r="3197" ht="13.5" hidden="1"/>
    <row r="3198" ht="13.5" hidden="1"/>
    <row r="3199" ht="13.5" hidden="1"/>
    <row r="3200" ht="13.5" hidden="1"/>
    <row r="3201" ht="13.5" hidden="1"/>
    <row r="3202" ht="13.5" hidden="1"/>
    <row r="3203" ht="13.5" hidden="1"/>
    <row r="3204" ht="13.5" hidden="1"/>
    <row r="3205" ht="13.5" hidden="1"/>
    <row r="3206" ht="13.5" hidden="1"/>
    <row r="3207" ht="13.5" hidden="1"/>
    <row r="3208" ht="13.5" hidden="1"/>
    <row r="3209" ht="13.5" hidden="1"/>
    <row r="3210" ht="13.5" hidden="1"/>
    <row r="3211" ht="13.5" hidden="1"/>
    <row r="3212" ht="13.5" hidden="1"/>
    <row r="3213" ht="13.5" hidden="1"/>
    <row r="3214" ht="13.5" hidden="1"/>
    <row r="3215" ht="13.5" hidden="1"/>
    <row r="3216" ht="13.5" hidden="1"/>
    <row r="3217" ht="13.5" hidden="1"/>
    <row r="3218" ht="13.5" hidden="1"/>
    <row r="3219" ht="13.5" hidden="1"/>
    <row r="3220" ht="13.5" hidden="1"/>
    <row r="3221" ht="13.5" hidden="1"/>
    <row r="3222" ht="13.5" hidden="1"/>
    <row r="3223" ht="13.5" hidden="1"/>
    <row r="3224" ht="13.5" hidden="1"/>
    <row r="3225" ht="13.5" hidden="1"/>
    <row r="3226" ht="13.5" hidden="1"/>
    <row r="3227" ht="13.5" hidden="1"/>
    <row r="3228" ht="13.5" hidden="1"/>
    <row r="3229" ht="13.5" hidden="1"/>
    <row r="3230" ht="13.5" hidden="1"/>
    <row r="3231" ht="13.5" hidden="1"/>
    <row r="3232" ht="13.5" hidden="1"/>
    <row r="3233" ht="13.5" hidden="1"/>
    <row r="3234" ht="13.5" hidden="1"/>
    <row r="3235" ht="13.5" hidden="1"/>
    <row r="3236" ht="13.5" hidden="1"/>
    <row r="3237" ht="13.5" hidden="1"/>
    <row r="3238" ht="13.5" hidden="1"/>
    <row r="3239" ht="13.5" hidden="1"/>
    <row r="3240" ht="13.5" hidden="1"/>
    <row r="3241" ht="13.5" hidden="1"/>
    <row r="3242" ht="13.5" hidden="1"/>
    <row r="3243" ht="13.5" hidden="1"/>
    <row r="3244" ht="13.5" hidden="1"/>
    <row r="3245" ht="13.5" hidden="1"/>
    <row r="3246" ht="13.5" hidden="1"/>
    <row r="3247" ht="13.5" hidden="1"/>
    <row r="3248" ht="13.5" hidden="1"/>
    <row r="3249" ht="13.5" hidden="1"/>
    <row r="3250" ht="13.5" hidden="1"/>
    <row r="3251" ht="13.5" hidden="1"/>
    <row r="3252" ht="13.5" hidden="1"/>
    <row r="3253" ht="13.5" hidden="1"/>
    <row r="3254" ht="13.5" hidden="1"/>
    <row r="3255" ht="13.5" hidden="1"/>
    <row r="3256" ht="13.5" hidden="1"/>
    <row r="3257" ht="13.5" hidden="1"/>
    <row r="3258" ht="13.5" hidden="1"/>
    <row r="3259" ht="13.5" hidden="1"/>
    <row r="3260" ht="13.5" hidden="1"/>
    <row r="3261" ht="13.5" hidden="1"/>
    <row r="3262" ht="13.5" hidden="1"/>
    <row r="3263" ht="13.5" hidden="1"/>
    <row r="3264" ht="13.5" hidden="1"/>
    <row r="3265" ht="13.5" hidden="1"/>
    <row r="3266" ht="13.5" hidden="1"/>
    <row r="3267" ht="13.5" hidden="1"/>
    <row r="3268" ht="13.5" hidden="1"/>
    <row r="3269" ht="13.5" hidden="1"/>
    <row r="3270" ht="13.5" hidden="1"/>
    <row r="3271" ht="13.5" hidden="1"/>
    <row r="3272" ht="13.5" hidden="1"/>
    <row r="3273" ht="13.5" hidden="1"/>
    <row r="3274" ht="13.5" hidden="1"/>
    <row r="3275" ht="13.5" hidden="1"/>
    <row r="3276" ht="13.5" hidden="1"/>
    <row r="3277" ht="13.5" hidden="1"/>
    <row r="3278" ht="13.5" hidden="1"/>
    <row r="3279" ht="13.5" hidden="1"/>
    <row r="3280" ht="13.5" hidden="1"/>
    <row r="3281" ht="13.5" hidden="1"/>
    <row r="3282" ht="13.5" hidden="1"/>
    <row r="3283" ht="13.5" hidden="1"/>
    <row r="3284" ht="13.5" hidden="1"/>
    <row r="3285" ht="13.5" hidden="1"/>
    <row r="3286" ht="13.5" hidden="1"/>
    <row r="3287" ht="13.5" hidden="1"/>
    <row r="3288" ht="13.5" hidden="1"/>
    <row r="3289" ht="13.5" hidden="1"/>
    <row r="3290" ht="13.5" hidden="1"/>
    <row r="3291" ht="13.5" hidden="1"/>
    <row r="3292" ht="13.5" hidden="1"/>
    <row r="3293" ht="13.5" hidden="1"/>
    <row r="3294" ht="13.5" hidden="1"/>
    <row r="3295" ht="13.5" hidden="1"/>
    <row r="3296" ht="13.5" hidden="1"/>
    <row r="3297" ht="13.5" hidden="1"/>
    <row r="3298" ht="13.5" hidden="1"/>
    <row r="3299" ht="13.5" hidden="1"/>
    <row r="3300" ht="13.5" hidden="1"/>
    <row r="3301" ht="13.5" hidden="1"/>
    <row r="3302" ht="13.5" hidden="1"/>
    <row r="3303" ht="13.5" hidden="1"/>
    <row r="3304" ht="13.5" hidden="1"/>
    <row r="3305" ht="13.5" hidden="1"/>
    <row r="3306" ht="13.5" hidden="1"/>
    <row r="3307" ht="13.5" hidden="1"/>
    <row r="3308" ht="13.5" hidden="1"/>
    <row r="3309" ht="13.5" hidden="1"/>
    <row r="3310" ht="13.5" hidden="1"/>
    <row r="3311" ht="13.5" hidden="1"/>
    <row r="3312" ht="13.5" hidden="1"/>
    <row r="3313" ht="13.5" hidden="1"/>
    <row r="3314" ht="13.5" hidden="1"/>
    <row r="3315" ht="13.5" hidden="1"/>
    <row r="3316" ht="13.5" hidden="1"/>
    <row r="3317" ht="13.5" hidden="1"/>
    <row r="3318" ht="13.5" hidden="1"/>
    <row r="3319" ht="13.5" hidden="1"/>
    <row r="3320" ht="13.5" hidden="1"/>
    <row r="3321" ht="13.5" hidden="1"/>
    <row r="3322" ht="13.5" hidden="1"/>
    <row r="3323" ht="13.5" hidden="1"/>
    <row r="3324" ht="13.5" hidden="1"/>
    <row r="3325" ht="13.5" hidden="1"/>
    <row r="3326" ht="13.5" hidden="1"/>
    <row r="3327" ht="13.5" hidden="1"/>
    <row r="3328" ht="13.5" hidden="1"/>
    <row r="3329" ht="13.5" hidden="1"/>
    <row r="3330" ht="13.5" hidden="1"/>
    <row r="3331" ht="13.5" hidden="1"/>
    <row r="3332" ht="13.5" hidden="1"/>
    <row r="3333" ht="13.5" hidden="1"/>
    <row r="3334" ht="13.5" hidden="1"/>
    <row r="3335" ht="13.5" hidden="1"/>
    <row r="3336" ht="13.5" hidden="1"/>
    <row r="3337" ht="13.5" hidden="1"/>
    <row r="3338" ht="13.5" hidden="1"/>
    <row r="3339" ht="13.5" hidden="1"/>
    <row r="3340" ht="13.5" hidden="1"/>
    <row r="3341" ht="13.5" hidden="1"/>
    <row r="3342" ht="13.5" hidden="1"/>
    <row r="3343" ht="13.5" hidden="1"/>
    <row r="3344" ht="13.5" hidden="1"/>
    <row r="3345" ht="13.5" hidden="1"/>
    <row r="3346" ht="13.5" hidden="1"/>
    <row r="3347" ht="13.5" hidden="1"/>
    <row r="3348" ht="13.5" hidden="1"/>
    <row r="3349" ht="13.5" hidden="1"/>
    <row r="3350" ht="13.5" hidden="1"/>
    <row r="3351" ht="13.5" hidden="1"/>
    <row r="3352" ht="13.5" hidden="1"/>
    <row r="3353" ht="13.5" hidden="1"/>
    <row r="3354" ht="13.5" hidden="1"/>
    <row r="3355" ht="13.5" hidden="1"/>
    <row r="3356" ht="13.5" hidden="1"/>
    <row r="3357" ht="13.5" hidden="1"/>
    <row r="3358" ht="13.5" hidden="1"/>
    <row r="3359" ht="13.5" hidden="1"/>
    <row r="3360" ht="13.5" hidden="1"/>
    <row r="3361" ht="13.5" hidden="1"/>
    <row r="3362" ht="13.5" hidden="1"/>
    <row r="3363" ht="13.5" hidden="1"/>
    <row r="3364" ht="13.5" hidden="1"/>
    <row r="3365" ht="13.5" hidden="1"/>
    <row r="3366" ht="13.5" hidden="1"/>
    <row r="3367" ht="13.5" hidden="1"/>
    <row r="3368" ht="13.5" hidden="1"/>
    <row r="3369" ht="13.5" hidden="1"/>
    <row r="3370" ht="13.5" hidden="1"/>
    <row r="3371" ht="13.5" hidden="1"/>
    <row r="3372" ht="13.5" hidden="1"/>
    <row r="3373" ht="13.5" hidden="1"/>
    <row r="3374" ht="13.5" hidden="1"/>
    <row r="3375" ht="13.5" hidden="1"/>
    <row r="3376" ht="13.5" hidden="1"/>
    <row r="3377" ht="13.5" hidden="1"/>
    <row r="3378" ht="13.5" hidden="1"/>
    <row r="3379" ht="13.5" hidden="1"/>
    <row r="3380" ht="13.5" hidden="1"/>
    <row r="3381" ht="13.5" hidden="1"/>
    <row r="3382" ht="13.5" hidden="1"/>
    <row r="3383" ht="13.5" hidden="1"/>
    <row r="3384" ht="13.5" hidden="1"/>
    <row r="3385" ht="13.5" hidden="1"/>
    <row r="3386" ht="13.5" hidden="1"/>
    <row r="3387" ht="13.5" hidden="1"/>
    <row r="3388" ht="13.5" hidden="1"/>
    <row r="3389" ht="13.5" hidden="1"/>
    <row r="3390" ht="13.5" hidden="1"/>
    <row r="3391" ht="13.5" hidden="1"/>
    <row r="3392" ht="13.5" hidden="1"/>
    <row r="3393" ht="13.5" hidden="1"/>
    <row r="3394" ht="13.5" hidden="1"/>
    <row r="3395" ht="13.5" hidden="1"/>
    <row r="3396" ht="13.5" hidden="1"/>
    <row r="3397" ht="13.5" hidden="1"/>
    <row r="3398" ht="13.5" hidden="1"/>
    <row r="3399" ht="13.5" hidden="1"/>
    <row r="3400" ht="13.5" hidden="1"/>
    <row r="3401" ht="13.5" hidden="1"/>
    <row r="3402" ht="13.5" hidden="1"/>
    <row r="3403" ht="13.5" hidden="1"/>
    <row r="3404" ht="13.5" hidden="1"/>
    <row r="3405" ht="13.5" hidden="1"/>
    <row r="3406" ht="13.5" hidden="1"/>
    <row r="3407" ht="13.5" hidden="1"/>
    <row r="3408" ht="13.5" hidden="1"/>
    <row r="3409" ht="13.5" hidden="1"/>
    <row r="3410" ht="13.5" hidden="1"/>
    <row r="3411" ht="13.5" hidden="1"/>
    <row r="3412" ht="13.5" hidden="1"/>
    <row r="3413" ht="13.5" hidden="1"/>
    <row r="3414" ht="13.5" hidden="1"/>
    <row r="3415" ht="13.5" hidden="1"/>
    <row r="3416" ht="13.5" hidden="1"/>
    <row r="3417" ht="13.5" hidden="1"/>
    <row r="3418" ht="13.5" hidden="1"/>
    <row r="3419" ht="13.5" hidden="1"/>
    <row r="3420" ht="13.5" hidden="1"/>
    <row r="3421" ht="13.5" hidden="1"/>
    <row r="3422" ht="13.5" hidden="1"/>
    <row r="3423" ht="13.5" hidden="1"/>
    <row r="3424" ht="13.5" hidden="1"/>
    <row r="3425" ht="13.5" hidden="1"/>
    <row r="3426" ht="13.5" hidden="1"/>
    <row r="3427" ht="13.5" hidden="1"/>
    <row r="3428" ht="13.5" hidden="1"/>
    <row r="3429" ht="13.5" hidden="1"/>
    <row r="3430" ht="13.5" hidden="1"/>
    <row r="3431" ht="13.5" hidden="1"/>
    <row r="3432" ht="13.5" hidden="1"/>
    <row r="3433" ht="13.5" hidden="1"/>
    <row r="3434" ht="13.5" hidden="1"/>
    <row r="3435" ht="13.5" hidden="1"/>
    <row r="3436" ht="13.5" hidden="1"/>
    <row r="3437" ht="13.5" hidden="1"/>
    <row r="3438" ht="13.5" hidden="1"/>
    <row r="3439" ht="13.5" hidden="1"/>
    <row r="3440" ht="13.5" hidden="1"/>
    <row r="3441" ht="13.5" hidden="1"/>
    <row r="3442" ht="13.5" hidden="1"/>
    <row r="3443" ht="13.5" hidden="1"/>
    <row r="3444" ht="13.5" hidden="1"/>
    <row r="3445" ht="13.5" hidden="1"/>
    <row r="3446" ht="13.5" hidden="1"/>
    <row r="3447" ht="13.5" hidden="1"/>
    <row r="3448" ht="13.5" hidden="1"/>
    <row r="3449" ht="13.5" hidden="1"/>
    <row r="3450" ht="13.5" hidden="1"/>
    <row r="3451" ht="13.5" hidden="1"/>
    <row r="3452" ht="13.5" hidden="1"/>
    <row r="3453" ht="13.5" hidden="1"/>
    <row r="3454" ht="13.5" hidden="1"/>
    <row r="3455" ht="13.5" hidden="1"/>
    <row r="3456" ht="13.5" hidden="1"/>
    <row r="3457" ht="13.5" hidden="1"/>
    <row r="3458" ht="13.5" hidden="1"/>
    <row r="3459" ht="13.5" hidden="1"/>
    <row r="3460" ht="13.5" hidden="1"/>
    <row r="3461" ht="13.5" hidden="1"/>
    <row r="3462" ht="13.5" hidden="1"/>
    <row r="3463" ht="13.5" hidden="1"/>
    <row r="3464" ht="13.5" hidden="1"/>
    <row r="3465" ht="13.5" hidden="1"/>
    <row r="3466" ht="13.5" hidden="1"/>
    <row r="3467" ht="13.5" hidden="1"/>
    <row r="3468" ht="13.5" hidden="1"/>
    <row r="3469" ht="13.5" hidden="1"/>
    <row r="3470" ht="13.5" hidden="1"/>
    <row r="3471" ht="13.5" hidden="1"/>
    <row r="3472" ht="13.5" hidden="1"/>
    <row r="3473" ht="13.5" hidden="1"/>
    <row r="3474" ht="13.5" hidden="1"/>
    <row r="3475" ht="13.5" hidden="1"/>
    <row r="3476" ht="13.5" hidden="1"/>
    <row r="3477" ht="13.5" hidden="1"/>
    <row r="3478" ht="13.5" hidden="1"/>
    <row r="3479" ht="13.5" hidden="1"/>
    <row r="3480" ht="13.5" hidden="1"/>
    <row r="3481" ht="13.5" hidden="1"/>
    <row r="3482" ht="13.5" hidden="1"/>
    <row r="3483" ht="13.5" hidden="1"/>
    <row r="3484" ht="13.5" hidden="1"/>
    <row r="3485" ht="13.5" hidden="1"/>
    <row r="3486" ht="13.5" hidden="1"/>
    <row r="3487" ht="13.5" hidden="1"/>
    <row r="3488" ht="13.5" hidden="1"/>
    <row r="3489" ht="13.5" hidden="1"/>
    <row r="3490" ht="13.5" hidden="1"/>
    <row r="3491" ht="13.5" hidden="1"/>
    <row r="3492" ht="13.5" hidden="1"/>
    <row r="3493" ht="13.5" hidden="1"/>
    <row r="3494" ht="13.5" hidden="1"/>
    <row r="3495" ht="13.5" hidden="1"/>
    <row r="3496" ht="13.5" hidden="1"/>
    <row r="3497" ht="13.5" hidden="1"/>
    <row r="3498" ht="13.5" hidden="1"/>
    <row r="3499" ht="13.5" hidden="1"/>
    <row r="3500" ht="13.5" hidden="1"/>
    <row r="3501" ht="13.5" hidden="1"/>
    <row r="3502" ht="13.5" hidden="1"/>
    <row r="3503" ht="13.5" hidden="1"/>
    <row r="3504" ht="13.5" hidden="1"/>
    <row r="3505" ht="13.5" hidden="1"/>
    <row r="3506" ht="13.5" hidden="1"/>
    <row r="3507" ht="13.5" hidden="1"/>
    <row r="3508" ht="13.5" hidden="1"/>
    <row r="3509" ht="13.5" hidden="1"/>
    <row r="3510" ht="13.5" hidden="1"/>
    <row r="3511" ht="13.5" hidden="1"/>
    <row r="3512" ht="13.5" hidden="1"/>
    <row r="3513" ht="13.5" hidden="1"/>
    <row r="3514" ht="13.5" hidden="1"/>
    <row r="3515" ht="13.5" hidden="1"/>
    <row r="3516" ht="13.5" hidden="1"/>
    <row r="3517" ht="13.5" hidden="1"/>
    <row r="3518" ht="13.5" hidden="1"/>
    <row r="3519" ht="13.5" hidden="1"/>
    <row r="3520" ht="13.5" hidden="1"/>
    <row r="3521" ht="13.5" hidden="1"/>
    <row r="3522" ht="13.5" hidden="1"/>
    <row r="3523" ht="13.5" hidden="1"/>
    <row r="3524" ht="13.5" hidden="1"/>
    <row r="3525" ht="13.5" hidden="1"/>
    <row r="3526" ht="13.5" hidden="1"/>
    <row r="3527" ht="13.5" hidden="1"/>
    <row r="3528" ht="13.5" hidden="1"/>
    <row r="3529" ht="13.5" hidden="1"/>
    <row r="3530" ht="13.5" hidden="1"/>
    <row r="3531" ht="13.5" hidden="1"/>
    <row r="3532" ht="13.5" hidden="1"/>
    <row r="3533" ht="13.5" hidden="1"/>
    <row r="3534" ht="13.5" hidden="1"/>
    <row r="3535" ht="13.5" hidden="1"/>
    <row r="3536" ht="13.5" hidden="1"/>
    <row r="3537" ht="13.5" hidden="1"/>
    <row r="3538" ht="13.5" hidden="1"/>
    <row r="3539" ht="13.5" hidden="1"/>
    <row r="3540" ht="13.5" hidden="1"/>
    <row r="3541" ht="13.5" hidden="1"/>
    <row r="3542" ht="13.5" hidden="1"/>
    <row r="3543" ht="13.5" hidden="1"/>
    <row r="3544" ht="13.5" hidden="1"/>
    <row r="3545" ht="13.5" hidden="1"/>
    <row r="3546" ht="13.5" hidden="1"/>
    <row r="3547" ht="13.5" hidden="1"/>
    <row r="3548" ht="13.5" hidden="1"/>
    <row r="3549" ht="13.5" hidden="1"/>
    <row r="3550" ht="13.5" hidden="1"/>
    <row r="3551" ht="13.5" hidden="1"/>
    <row r="3552" ht="13.5" hidden="1"/>
    <row r="3553" ht="13.5" hidden="1"/>
    <row r="3554" ht="13.5" hidden="1"/>
    <row r="3555" ht="13.5" hidden="1"/>
    <row r="3556" ht="13.5" hidden="1"/>
    <row r="3557" ht="13.5" hidden="1"/>
    <row r="3558" ht="13.5" hidden="1"/>
    <row r="3559" ht="13.5" hidden="1"/>
    <row r="3560" ht="13.5" hidden="1"/>
    <row r="3561" ht="13.5" hidden="1"/>
    <row r="3562" ht="13.5" hidden="1"/>
    <row r="3563" ht="13.5" hidden="1"/>
    <row r="3564" ht="13.5" hidden="1"/>
    <row r="3565" ht="13.5" hidden="1"/>
    <row r="3566" ht="13.5" hidden="1"/>
    <row r="3567" ht="13.5" hidden="1"/>
    <row r="3568" ht="13.5" hidden="1"/>
    <row r="3569" ht="13.5" hidden="1"/>
    <row r="3570" ht="13.5" hidden="1"/>
    <row r="3571" ht="13.5" hidden="1"/>
    <row r="3572" ht="13.5" hidden="1"/>
    <row r="3573" ht="13.5" hidden="1"/>
    <row r="3574" ht="13.5" hidden="1"/>
    <row r="3575" ht="13.5" hidden="1"/>
    <row r="3576" ht="13.5" hidden="1"/>
    <row r="3577" ht="13.5" hidden="1"/>
    <row r="3578" ht="13.5" hidden="1"/>
    <row r="3579" ht="13.5" hidden="1"/>
    <row r="3580" ht="13.5" hidden="1"/>
    <row r="3581" ht="13.5" hidden="1"/>
    <row r="3582" ht="13.5" hidden="1"/>
    <row r="3583" ht="13.5" hidden="1"/>
    <row r="3584" ht="13.5" hidden="1"/>
    <row r="3585" ht="13.5" hidden="1"/>
    <row r="3586" ht="13.5" hidden="1"/>
    <row r="3587" ht="13.5" hidden="1"/>
    <row r="3588" ht="13.5" hidden="1"/>
    <row r="3589" ht="13.5" hidden="1"/>
    <row r="3590" ht="13.5" hidden="1"/>
    <row r="3591" ht="13.5" hidden="1"/>
    <row r="3592" ht="13.5" hidden="1"/>
    <row r="3593" ht="13.5" hidden="1"/>
    <row r="3594" ht="13.5" hidden="1"/>
    <row r="3595" ht="13.5" hidden="1"/>
    <row r="3596" ht="13.5" hidden="1"/>
    <row r="3597" ht="13.5" hidden="1"/>
    <row r="3598" ht="13.5" hidden="1"/>
    <row r="3599" ht="13.5" hidden="1"/>
    <row r="3600" ht="13.5" hidden="1"/>
    <row r="3601" ht="13.5" hidden="1"/>
    <row r="3602" ht="13.5" hidden="1"/>
    <row r="3603" ht="13.5" hidden="1"/>
    <row r="3604" ht="13.5" hidden="1"/>
    <row r="3605" ht="13.5" hidden="1"/>
    <row r="3606" ht="13.5" hidden="1"/>
    <row r="3607" ht="13.5" hidden="1"/>
    <row r="3608" ht="13.5" hidden="1"/>
    <row r="3609" ht="13.5" hidden="1"/>
    <row r="3610" ht="13.5" hidden="1"/>
    <row r="3611" ht="13.5" hidden="1"/>
    <row r="3612" ht="13.5" hidden="1"/>
    <row r="3613" ht="13.5" hidden="1"/>
    <row r="3614" ht="13.5" hidden="1"/>
    <row r="3615" ht="13.5" hidden="1"/>
    <row r="3616" ht="13.5" hidden="1"/>
    <row r="3617" ht="13.5" hidden="1"/>
    <row r="3618" ht="13.5" hidden="1"/>
    <row r="3619" ht="13.5" hidden="1"/>
    <row r="3620" ht="13.5" hidden="1"/>
    <row r="3621" ht="13.5" hidden="1"/>
    <row r="3622" ht="13.5" hidden="1"/>
    <row r="3623" ht="13.5" hidden="1"/>
    <row r="3624" ht="13.5" hidden="1"/>
    <row r="3625" ht="13.5" hidden="1"/>
    <row r="3626" ht="13.5" hidden="1"/>
    <row r="3627" ht="13.5" hidden="1"/>
    <row r="3628" ht="13.5" hidden="1"/>
    <row r="3629" ht="13.5" hidden="1"/>
    <row r="3630" ht="13.5" hidden="1"/>
    <row r="3631" ht="13.5" hidden="1"/>
    <row r="3632" ht="13.5" hidden="1"/>
    <row r="3633" ht="13.5" hidden="1"/>
    <row r="3634" ht="13.5" hidden="1"/>
    <row r="3635" ht="13.5" hidden="1"/>
    <row r="3636" ht="13.5" hidden="1"/>
    <row r="3637" ht="13.5" hidden="1"/>
    <row r="3638" ht="13.5" hidden="1"/>
    <row r="3639" ht="13.5" hidden="1"/>
    <row r="3640" ht="13.5" hidden="1"/>
    <row r="3641" ht="13.5" hidden="1"/>
    <row r="3642" ht="13.5" hidden="1"/>
    <row r="3643" ht="13.5" hidden="1"/>
    <row r="3644" ht="13.5" hidden="1"/>
    <row r="3645" ht="13.5" hidden="1"/>
    <row r="3646" ht="13.5" hidden="1"/>
    <row r="3647" ht="13.5" hidden="1"/>
    <row r="3648" ht="13.5" hidden="1"/>
    <row r="3649" ht="13.5" hidden="1"/>
    <row r="3650" ht="13.5" hidden="1"/>
    <row r="3651" ht="13.5" hidden="1"/>
    <row r="3652" ht="13.5" hidden="1"/>
    <row r="3653" ht="13.5" hidden="1"/>
    <row r="3654" ht="13.5" hidden="1"/>
    <row r="3655" ht="13.5" hidden="1"/>
    <row r="3656" ht="13.5" hidden="1"/>
    <row r="3657" ht="13.5" hidden="1"/>
    <row r="3658" ht="13.5" hidden="1"/>
    <row r="3659" ht="13.5" hidden="1"/>
    <row r="3660" ht="13.5" hidden="1"/>
    <row r="3661" ht="13.5" hidden="1"/>
    <row r="3662" ht="13.5" hidden="1"/>
    <row r="3663" ht="13.5" hidden="1"/>
    <row r="3664" ht="13.5" hidden="1"/>
    <row r="3665" ht="13.5" hidden="1"/>
    <row r="3666" ht="13.5" hidden="1"/>
    <row r="3667" ht="13.5" hidden="1"/>
    <row r="3668" ht="13.5" hidden="1"/>
    <row r="3669" ht="13.5" hidden="1"/>
    <row r="3670" ht="13.5" hidden="1"/>
    <row r="3671" ht="13.5" hidden="1"/>
    <row r="3672" ht="13.5" hidden="1"/>
    <row r="3673" ht="13.5" hidden="1"/>
    <row r="3674" ht="13.5" hidden="1"/>
    <row r="3675" ht="13.5" hidden="1"/>
    <row r="3676" ht="13.5" hidden="1"/>
    <row r="3677" ht="13.5" hidden="1"/>
    <row r="3678" ht="13.5" hidden="1"/>
    <row r="3679" ht="13.5" hidden="1"/>
    <row r="3680" ht="13.5" hidden="1"/>
    <row r="3681" ht="13.5" hidden="1"/>
    <row r="3682" ht="13.5" hidden="1"/>
    <row r="3683" ht="13.5" hidden="1"/>
    <row r="3684" ht="13.5" hidden="1"/>
    <row r="3685" ht="13.5" hidden="1"/>
    <row r="3686" ht="13.5" hidden="1"/>
    <row r="3687" ht="13.5" hidden="1"/>
    <row r="3688" ht="13.5" hidden="1"/>
    <row r="3689" ht="13.5" hidden="1"/>
    <row r="3690" ht="13.5" hidden="1"/>
    <row r="3691" ht="13.5" hidden="1"/>
    <row r="3692" ht="13.5" hidden="1"/>
    <row r="3693" ht="13.5" hidden="1"/>
    <row r="3694" ht="13.5" hidden="1"/>
    <row r="3695" ht="13.5" hidden="1"/>
    <row r="3696" ht="13.5" hidden="1"/>
    <row r="3697" ht="13.5" hidden="1"/>
    <row r="3698" ht="13.5" hidden="1"/>
    <row r="3699" ht="13.5" hidden="1"/>
    <row r="3700" ht="13.5" hidden="1"/>
    <row r="3701" ht="13.5" hidden="1"/>
    <row r="3702" ht="13.5" hidden="1"/>
    <row r="3703" ht="13.5" hidden="1"/>
    <row r="3704" ht="13.5" hidden="1"/>
    <row r="3705" ht="13.5" hidden="1"/>
    <row r="3706" ht="13.5" hidden="1"/>
    <row r="3707" ht="13.5" hidden="1"/>
    <row r="3708" ht="13.5" hidden="1"/>
    <row r="3709" ht="13.5" hidden="1"/>
    <row r="3710" ht="13.5" hidden="1"/>
    <row r="3711" ht="13.5" hidden="1"/>
    <row r="3712" ht="13.5" hidden="1"/>
    <row r="3713" ht="13.5" hidden="1"/>
    <row r="3714" ht="13.5" hidden="1"/>
    <row r="3715" ht="13.5" hidden="1"/>
    <row r="3716" ht="13.5" hidden="1"/>
    <row r="3717" ht="13.5" hidden="1"/>
    <row r="3718" ht="13.5" hidden="1"/>
    <row r="3719" ht="13.5" hidden="1"/>
    <row r="3720" ht="13.5" hidden="1"/>
    <row r="3721" ht="13.5" hidden="1"/>
    <row r="3722" ht="13.5" hidden="1"/>
    <row r="3723" ht="13.5" hidden="1"/>
    <row r="3724" ht="13.5" hidden="1"/>
    <row r="3725" ht="13.5" hidden="1"/>
    <row r="3726" ht="13.5" hidden="1"/>
    <row r="3727" ht="13.5" hidden="1"/>
    <row r="3728" ht="13.5" hidden="1"/>
    <row r="3729" ht="13.5" hidden="1"/>
    <row r="3730" ht="13.5" hidden="1"/>
    <row r="3731" ht="13.5" hidden="1"/>
    <row r="3732" ht="13.5" hidden="1"/>
    <row r="3733" ht="13.5" hidden="1"/>
    <row r="3734" ht="13.5" hidden="1"/>
    <row r="3735" ht="13.5" hidden="1"/>
    <row r="3736" ht="13.5" hidden="1"/>
    <row r="3737" ht="13.5" hidden="1"/>
    <row r="3738" ht="13.5" hidden="1"/>
    <row r="3739" ht="13.5" hidden="1"/>
    <row r="3740" ht="13.5" hidden="1"/>
    <row r="3741" ht="13.5" hidden="1"/>
    <row r="3742" ht="13.5" hidden="1"/>
    <row r="3743" ht="13.5" hidden="1"/>
    <row r="3744" ht="13.5" hidden="1"/>
    <row r="3745" ht="13.5" hidden="1"/>
    <row r="3746" ht="13.5" hidden="1"/>
    <row r="3747" ht="13.5" hidden="1"/>
    <row r="3748" ht="13.5" hidden="1"/>
    <row r="3749" ht="13.5" hidden="1"/>
    <row r="3750" ht="13.5" hidden="1"/>
    <row r="3751" ht="13.5" hidden="1"/>
    <row r="3752" ht="13.5" hidden="1"/>
    <row r="3753" ht="13.5" hidden="1"/>
    <row r="3754" ht="13.5" hidden="1"/>
    <row r="3755" ht="13.5" hidden="1"/>
    <row r="3756" ht="13.5" hidden="1"/>
    <row r="3757" ht="13.5" hidden="1"/>
    <row r="3758" ht="13.5" hidden="1"/>
    <row r="3759" ht="13.5" hidden="1"/>
    <row r="3760" ht="13.5" hidden="1"/>
    <row r="3761" ht="13.5" hidden="1"/>
    <row r="3762" ht="13.5" hidden="1"/>
    <row r="3763" ht="13.5" hidden="1"/>
    <row r="3764" ht="13.5" hidden="1"/>
    <row r="3765" ht="13.5" hidden="1"/>
    <row r="3766" ht="13.5" hidden="1"/>
    <row r="3767" ht="13.5" hidden="1"/>
    <row r="3768" ht="13.5" hidden="1"/>
    <row r="3769" ht="13.5" hidden="1"/>
    <row r="3770" ht="13.5" hidden="1"/>
    <row r="3771" ht="13.5" hidden="1"/>
    <row r="3772" ht="13.5" hidden="1"/>
    <row r="3773" ht="13.5" hidden="1"/>
    <row r="3774" ht="13.5" hidden="1"/>
    <row r="3775" ht="13.5" hidden="1"/>
    <row r="3776" ht="13.5" hidden="1"/>
    <row r="3777" ht="13.5" hidden="1"/>
    <row r="3778" ht="13.5" hidden="1"/>
    <row r="3779" ht="13.5" hidden="1"/>
    <row r="3780" ht="13.5" hidden="1"/>
    <row r="3781" ht="13.5" hidden="1"/>
    <row r="3782" ht="13.5" hidden="1"/>
    <row r="3783" ht="13.5" hidden="1"/>
    <row r="3784" ht="13.5" hidden="1"/>
    <row r="3785" ht="13.5" hidden="1"/>
    <row r="3786" ht="13.5" hidden="1"/>
    <row r="3787" ht="13.5" hidden="1"/>
    <row r="3788" ht="13.5" hidden="1"/>
    <row r="3789" ht="13.5" hidden="1"/>
    <row r="3790" ht="13.5" hidden="1"/>
    <row r="3791" ht="13.5" hidden="1"/>
    <row r="3792" ht="13.5" hidden="1"/>
    <row r="3793" ht="13.5" hidden="1"/>
    <row r="3794" ht="13.5" hidden="1"/>
    <row r="3795" ht="13.5" hidden="1"/>
    <row r="3796" ht="13.5" hidden="1"/>
    <row r="3797" ht="13.5" hidden="1"/>
    <row r="3798" ht="13.5" hidden="1"/>
    <row r="3799" ht="13.5" hidden="1"/>
    <row r="3800" ht="13.5" hidden="1"/>
    <row r="3801" ht="13.5" hidden="1"/>
    <row r="3802" ht="13.5" hidden="1"/>
    <row r="3803" ht="13.5" hidden="1"/>
    <row r="3804" ht="13.5" hidden="1"/>
    <row r="3805" ht="13.5" hidden="1"/>
    <row r="3806" ht="13.5" hidden="1"/>
    <row r="3807" ht="13.5" hidden="1"/>
    <row r="3808" ht="13.5" hidden="1"/>
    <row r="3809" ht="13.5" hidden="1"/>
    <row r="3810" ht="13.5" hidden="1"/>
    <row r="3811" ht="13.5" hidden="1"/>
    <row r="3812" ht="13.5" hidden="1"/>
    <row r="3813" ht="13.5" hidden="1"/>
    <row r="3814" ht="13.5" hidden="1"/>
    <row r="3815" ht="13.5" hidden="1"/>
    <row r="3816" ht="13.5" hidden="1"/>
    <row r="3817" ht="13.5" hidden="1"/>
    <row r="3818" ht="13.5" hidden="1"/>
    <row r="3819" ht="13.5" hidden="1"/>
    <row r="3820" ht="13.5" hidden="1"/>
    <row r="3821" ht="13.5" hidden="1"/>
    <row r="3822" ht="13.5" hidden="1"/>
    <row r="3823" ht="13.5" hidden="1"/>
    <row r="3824" ht="13.5" hidden="1"/>
    <row r="3825" ht="13.5" hidden="1"/>
    <row r="3826" ht="13.5" hidden="1"/>
    <row r="3827" ht="13.5" hidden="1"/>
    <row r="3828" ht="13.5" hidden="1"/>
    <row r="3829" ht="13.5" hidden="1"/>
    <row r="3830" ht="13.5" hidden="1"/>
    <row r="3831" ht="13.5" hidden="1"/>
    <row r="3832" ht="13.5" hidden="1"/>
    <row r="3833" ht="13.5" hidden="1"/>
    <row r="3834" ht="13.5" hidden="1"/>
    <row r="3835" ht="13.5" hidden="1"/>
    <row r="3836" ht="13.5" hidden="1"/>
    <row r="3837" ht="13.5" hidden="1"/>
    <row r="3838" ht="13.5" hidden="1"/>
    <row r="3839" ht="13.5" hidden="1"/>
    <row r="3840" ht="13.5" hidden="1"/>
    <row r="3841" ht="13.5" hidden="1"/>
    <row r="3842" ht="13.5" hidden="1"/>
    <row r="3843" ht="13.5" hidden="1"/>
    <row r="3844" ht="13.5" hidden="1"/>
    <row r="3845" ht="13.5" hidden="1"/>
    <row r="3846" ht="13.5" hidden="1"/>
    <row r="3847" ht="13.5" hidden="1"/>
    <row r="3848" ht="13.5" hidden="1"/>
    <row r="3849" ht="13.5" hidden="1"/>
    <row r="3850" ht="13.5" hidden="1"/>
    <row r="3851" ht="13.5" hidden="1"/>
    <row r="3852" ht="13.5" hidden="1"/>
    <row r="3853" ht="13.5" hidden="1"/>
    <row r="3854" ht="13.5" hidden="1"/>
    <row r="3855" ht="13.5" hidden="1"/>
    <row r="3856" ht="13.5" hidden="1"/>
    <row r="3857" ht="13.5" hidden="1"/>
    <row r="3858" ht="13.5" hidden="1"/>
    <row r="3859" ht="13.5" hidden="1"/>
    <row r="3860" ht="13.5" hidden="1"/>
    <row r="3861" ht="13.5" hidden="1"/>
    <row r="3862" ht="13.5" hidden="1"/>
    <row r="3863" ht="13.5" hidden="1"/>
    <row r="3864" ht="13.5" hidden="1"/>
    <row r="3865" ht="13.5" hidden="1"/>
    <row r="3866" ht="13.5" hidden="1"/>
    <row r="3867" ht="13.5" hidden="1"/>
    <row r="3868" ht="13.5" hidden="1"/>
    <row r="3869" ht="13.5" hidden="1"/>
    <row r="3870" ht="13.5" hidden="1"/>
    <row r="3871" ht="13.5" hidden="1"/>
    <row r="3872" ht="13.5" hidden="1"/>
    <row r="3873" ht="13.5" hidden="1"/>
    <row r="3874" ht="13.5" hidden="1"/>
    <row r="3875" ht="13.5" hidden="1"/>
    <row r="3876" ht="13.5" hidden="1"/>
    <row r="3877" ht="13.5" hidden="1"/>
    <row r="3878" ht="13.5" hidden="1"/>
    <row r="3879" ht="13.5" hidden="1"/>
    <row r="3880" ht="13.5" hidden="1"/>
    <row r="3881" ht="13.5" hidden="1"/>
    <row r="3882" ht="13.5" hidden="1"/>
    <row r="3883" ht="13.5" hidden="1"/>
    <row r="3884" ht="13.5" hidden="1"/>
    <row r="3885" ht="13.5" hidden="1"/>
    <row r="3886" ht="13.5" hidden="1"/>
    <row r="3887" ht="13.5" hidden="1"/>
    <row r="3888" ht="13.5" hidden="1"/>
    <row r="3889" ht="13.5" hidden="1"/>
    <row r="3890" ht="13.5" hidden="1"/>
    <row r="3891" ht="13.5" hidden="1"/>
    <row r="3892" ht="13.5" hidden="1"/>
    <row r="3893" ht="13.5" hidden="1"/>
    <row r="3894" ht="13.5" hidden="1"/>
    <row r="3895" ht="13.5" hidden="1"/>
    <row r="3896" ht="13.5" hidden="1"/>
    <row r="3897" ht="13.5" hidden="1"/>
    <row r="3898" ht="13.5" hidden="1"/>
    <row r="3899" ht="13.5" hidden="1"/>
    <row r="3900" ht="13.5" hidden="1"/>
    <row r="3901" ht="13.5" hidden="1"/>
    <row r="3902" ht="13.5" hidden="1"/>
    <row r="3903" ht="13.5" hidden="1"/>
    <row r="3904" ht="13.5" hidden="1"/>
    <row r="3905" ht="13.5" hidden="1"/>
    <row r="3906" ht="13.5" hidden="1"/>
    <row r="3907" ht="13.5" hidden="1"/>
    <row r="3908" ht="13.5" hidden="1"/>
    <row r="3909" ht="13.5" hidden="1"/>
    <row r="3910" ht="13.5" hidden="1"/>
    <row r="3911" ht="13.5" hidden="1"/>
    <row r="3912" ht="13.5" hidden="1"/>
    <row r="3913" ht="13.5" hidden="1"/>
    <row r="3914" ht="13.5" hidden="1"/>
    <row r="3915" ht="13.5" hidden="1"/>
    <row r="3916" ht="13.5" hidden="1"/>
    <row r="3917" ht="13.5" hidden="1"/>
    <row r="3918" ht="13.5" hidden="1"/>
    <row r="3919" ht="13.5" hidden="1"/>
    <row r="3920" ht="13.5" hidden="1"/>
    <row r="3921" ht="13.5" hidden="1"/>
    <row r="3922" ht="13.5" hidden="1"/>
    <row r="3923" ht="13.5" hidden="1"/>
    <row r="3924" ht="13.5" hidden="1"/>
    <row r="3925" ht="13.5" hidden="1"/>
    <row r="3926" ht="13.5" hidden="1"/>
    <row r="3927" ht="13.5" hidden="1"/>
    <row r="3928" ht="13.5" hidden="1"/>
    <row r="3929" ht="13.5" hidden="1"/>
    <row r="3930" ht="13.5" hidden="1"/>
    <row r="3931" ht="13.5" hidden="1"/>
    <row r="3932" ht="13.5" hidden="1"/>
    <row r="3933" ht="13.5" hidden="1"/>
    <row r="3934" ht="13.5" hidden="1"/>
    <row r="3935" ht="13.5" hidden="1"/>
    <row r="3936" ht="13.5" hidden="1"/>
    <row r="3937" ht="13.5" hidden="1"/>
    <row r="3938" ht="13.5" hidden="1"/>
    <row r="3939" ht="13.5" hidden="1"/>
    <row r="3940" ht="13.5" hidden="1"/>
    <row r="3941" ht="13.5" hidden="1"/>
    <row r="3942" ht="13.5" hidden="1"/>
    <row r="3943" ht="13.5" hidden="1"/>
    <row r="3944" ht="13.5" hidden="1"/>
    <row r="3945" ht="13.5" hidden="1"/>
    <row r="3946" ht="13.5" hidden="1"/>
    <row r="3947" ht="13.5" hidden="1"/>
    <row r="3948" ht="13.5" hidden="1"/>
    <row r="3949" ht="13.5" hidden="1"/>
    <row r="3950" ht="13.5" hidden="1"/>
    <row r="3951" ht="13.5" hidden="1"/>
    <row r="3952" ht="13.5" hidden="1"/>
    <row r="3953" ht="13.5" hidden="1"/>
    <row r="3954" ht="13.5" hidden="1"/>
    <row r="3955" ht="13.5" hidden="1"/>
    <row r="3956" ht="13.5" hidden="1"/>
    <row r="3957" ht="13.5" hidden="1"/>
    <row r="3958" ht="13.5" hidden="1"/>
    <row r="3959" ht="13.5" hidden="1"/>
    <row r="3960" ht="13.5" hidden="1"/>
    <row r="3961" ht="13.5" hidden="1"/>
    <row r="3962" ht="13.5" hidden="1"/>
    <row r="3963" ht="13.5" hidden="1"/>
    <row r="3964" ht="13.5" hidden="1"/>
    <row r="3965" ht="13.5" hidden="1"/>
    <row r="3966" ht="13.5" hidden="1"/>
    <row r="3967" ht="13.5" hidden="1"/>
    <row r="3968" ht="13.5" hidden="1"/>
    <row r="3969" ht="13.5" hidden="1"/>
    <row r="3970" ht="13.5" hidden="1"/>
    <row r="3971" ht="13.5" hidden="1"/>
    <row r="3972" ht="13.5" hidden="1"/>
    <row r="3973" ht="13.5" hidden="1"/>
    <row r="3974" ht="13.5" hidden="1"/>
    <row r="3975" ht="13.5" hidden="1"/>
    <row r="3976" ht="13.5" hidden="1"/>
    <row r="3977" ht="13.5" hidden="1"/>
    <row r="3978" ht="13.5" hidden="1"/>
    <row r="3979" ht="13.5" hidden="1"/>
    <row r="3980" ht="13.5" hidden="1"/>
    <row r="3981" ht="13.5" hidden="1"/>
    <row r="3982" ht="13.5" hidden="1"/>
    <row r="3983" ht="13.5" hidden="1"/>
    <row r="3984" ht="13.5" hidden="1"/>
    <row r="3985" ht="13.5" hidden="1"/>
    <row r="3986" ht="13.5" hidden="1"/>
    <row r="3987" ht="13.5" hidden="1"/>
    <row r="3988" ht="13.5" hidden="1"/>
    <row r="3989" ht="13.5" hidden="1"/>
    <row r="3990" ht="13.5" hidden="1"/>
    <row r="3991" ht="13.5" hidden="1"/>
    <row r="3992" ht="13.5" hidden="1"/>
    <row r="3993" ht="13.5" hidden="1"/>
    <row r="3994" ht="13.5" hidden="1"/>
    <row r="3995" ht="13.5" hidden="1"/>
    <row r="3996" ht="13.5" hidden="1"/>
    <row r="3997" ht="13.5" hidden="1"/>
    <row r="3998" ht="13.5" hidden="1"/>
    <row r="3999" ht="13.5" hidden="1"/>
    <row r="4000" ht="13.5" hidden="1"/>
    <row r="4001" ht="13.5" hidden="1"/>
    <row r="4002" ht="13.5" hidden="1"/>
    <row r="4003" ht="13.5" hidden="1"/>
    <row r="4004" ht="13.5" hidden="1"/>
    <row r="4005" ht="13.5" hidden="1"/>
    <row r="4006" ht="13.5" hidden="1"/>
    <row r="4007" ht="13.5" hidden="1"/>
    <row r="4008" ht="13.5" hidden="1"/>
    <row r="4009" ht="13.5" hidden="1"/>
    <row r="4010" ht="13.5" hidden="1"/>
    <row r="4011" ht="13.5" hidden="1"/>
    <row r="4012" ht="13.5" hidden="1"/>
    <row r="4013" ht="13.5" hidden="1"/>
    <row r="4014" ht="13.5" hidden="1"/>
    <row r="4015" ht="13.5" hidden="1"/>
    <row r="4016" ht="13.5" hidden="1"/>
    <row r="4017" ht="13.5" hidden="1"/>
    <row r="4018" ht="13.5" hidden="1"/>
    <row r="4019" ht="13.5" hidden="1"/>
    <row r="4020" ht="13.5" hidden="1"/>
    <row r="4021" ht="13.5" hidden="1"/>
    <row r="4022" ht="13.5" hidden="1"/>
    <row r="4023" ht="13.5" hidden="1"/>
    <row r="4024" ht="13.5" hidden="1"/>
    <row r="4025" ht="13.5" hidden="1"/>
    <row r="4026" ht="13.5" hidden="1"/>
    <row r="4027" ht="13.5" hidden="1"/>
    <row r="4028" ht="13.5" hidden="1"/>
    <row r="4029" ht="13.5" hidden="1"/>
    <row r="4030" ht="13.5" hidden="1"/>
    <row r="4031" ht="13.5" hidden="1"/>
    <row r="4032" ht="13.5" hidden="1"/>
    <row r="4033" ht="13.5" hidden="1"/>
    <row r="4034" ht="13.5" hidden="1"/>
    <row r="4035" ht="13.5" hidden="1"/>
    <row r="4036" ht="13.5" hidden="1"/>
    <row r="4037" ht="13.5" hidden="1"/>
    <row r="4038" ht="13.5" hidden="1"/>
    <row r="4039" ht="13.5" hidden="1"/>
    <row r="4040" ht="13.5" hidden="1"/>
    <row r="4041" ht="13.5" hidden="1"/>
    <row r="4042" ht="13.5" hidden="1"/>
    <row r="4043" ht="13.5" hidden="1"/>
    <row r="4044" ht="13.5" hidden="1"/>
    <row r="4045" ht="13.5" hidden="1"/>
    <row r="4046" ht="13.5" hidden="1"/>
    <row r="4047" ht="13.5" hidden="1"/>
    <row r="4048" ht="13.5" hidden="1"/>
    <row r="4049" ht="13.5" hidden="1"/>
    <row r="4050" ht="13.5" hidden="1"/>
    <row r="4051" ht="13.5" hidden="1"/>
    <row r="4052" ht="13.5" hidden="1"/>
    <row r="4053" ht="13.5" hidden="1"/>
    <row r="4054" ht="13.5" hidden="1"/>
    <row r="4055" ht="13.5" hidden="1"/>
    <row r="4056" ht="13.5" hidden="1"/>
    <row r="4057" ht="13.5" hidden="1"/>
    <row r="4058" ht="13.5" hidden="1"/>
    <row r="4059" ht="13.5" hidden="1"/>
    <row r="4060" ht="13.5" hidden="1"/>
    <row r="4061" ht="13.5" hidden="1"/>
    <row r="4062" ht="13.5" hidden="1"/>
    <row r="4063" ht="13.5" hidden="1"/>
    <row r="4064" ht="13.5" hidden="1"/>
    <row r="4065" ht="13.5" hidden="1"/>
    <row r="4066" ht="13.5" hidden="1"/>
    <row r="4067" ht="13.5" hidden="1"/>
    <row r="4068" ht="13.5" hidden="1"/>
    <row r="4069" ht="13.5" hidden="1"/>
    <row r="4070" ht="13.5" hidden="1"/>
    <row r="4071" ht="13.5" hidden="1"/>
    <row r="4072" ht="13.5" hidden="1"/>
    <row r="4073" ht="13.5" hidden="1"/>
    <row r="4074" ht="13.5" hidden="1"/>
    <row r="4075" ht="13.5" hidden="1"/>
    <row r="4076" ht="13.5" hidden="1"/>
    <row r="4077" ht="13.5" hidden="1"/>
    <row r="4078" ht="13.5" hidden="1"/>
    <row r="4079" ht="13.5" hidden="1"/>
    <row r="4080" ht="13.5" hidden="1"/>
    <row r="4081" ht="13.5" hidden="1"/>
    <row r="4082" ht="13.5" hidden="1"/>
    <row r="4083" ht="13.5" hidden="1"/>
    <row r="4084" ht="13.5" hidden="1"/>
    <row r="4085" ht="13.5" hidden="1"/>
    <row r="4086" ht="13.5" hidden="1"/>
    <row r="4087" ht="13.5" hidden="1"/>
    <row r="4088" ht="13.5" hidden="1"/>
    <row r="4089" ht="13.5" hidden="1"/>
    <row r="4090" ht="13.5" hidden="1"/>
    <row r="4091" ht="13.5" hidden="1"/>
    <row r="4092" ht="13.5" hidden="1"/>
    <row r="4093" ht="13.5" hidden="1"/>
    <row r="4094" ht="13.5" hidden="1"/>
    <row r="4095" ht="13.5" hidden="1"/>
    <row r="4096" ht="13.5" hidden="1"/>
    <row r="4097" ht="13.5" hidden="1"/>
    <row r="4098" ht="13.5" hidden="1"/>
    <row r="4099" ht="13.5" hidden="1"/>
    <row r="4100" ht="13.5" hidden="1"/>
    <row r="4101" ht="13.5" hidden="1"/>
    <row r="4102" ht="13.5" hidden="1"/>
    <row r="4103" ht="13.5" hidden="1"/>
    <row r="4104" ht="13.5" hidden="1"/>
    <row r="4105" ht="13.5" hidden="1"/>
    <row r="4106" ht="13.5" hidden="1"/>
    <row r="4107" ht="13.5" hidden="1"/>
    <row r="4108" ht="13.5" hidden="1"/>
    <row r="4109" ht="13.5" hidden="1"/>
    <row r="4110" ht="13.5" hidden="1"/>
    <row r="4111" ht="13.5" hidden="1"/>
    <row r="4112" ht="13.5" hidden="1"/>
    <row r="4113" ht="13.5" hidden="1"/>
    <row r="4114" ht="13.5" hidden="1"/>
    <row r="4115" ht="13.5" hidden="1"/>
    <row r="4116" ht="13.5" hidden="1"/>
    <row r="4117" ht="13.5" hidden="1"/>
    <row r="4118" ht="13.5" hidden="1"/>
    <row r="4119" ht="13.5" hidden="1"/>
    <row r="4120" ht="13.5" hidden="1"/>
    <row r="4121" ht="13.5" hidden="1"/>
    <row r="4122" ht="13.5" hidden="1"/>
    <row r="4123" ht="13.5" hidden="1"/>
    <row r="4124" ht="13.5" hidden="1"/>
    <row r="4125" ht="13.5" hidden="1"/>
    <row r="4126" ht="13.5" hidden="1"/>
    <row r="4127" ht="13.5" hidden="1"/>
    <row r="4128" ht="13.5" hidden="1"/>
    <row r="4129" ht="13.5" hidden="1"/>
    <row r="4130" ht="13.5" hidden="1"/>
    <row r="4131" ht="13.5" hidden="1"/>
    <row r="4132" ht="13.5" hidden="1"/>
    <row r="4133" ht="13.5" hidden="1"/>
    <row r="4134" ht="13.5" hidden="1"/>
    <row r="4135" ht="13.5" hidden="1"/>
    <row r="4136" ht="13.5" hidden="1"/>
    <row r="4137" ht="13.5" hidden="1"/>
    <row r="4138" ht="13.5" hidden="1"/>
    <row r="4139" ht="13.5" hidden="1"/>
    <row r="4140" ht="13.5" hidden="1"/>
    <row r="4141" ht="13.5" hidden="1"/>
    <row r="4142" ht="13.5" hidden="1"/>
    <row r="4143" ht="13.5" hidden="1"/>
    <row r="4144" ht="13.5" hidden="1"/>
    <row r="4145" ht="13.5" hidden="1"/>
    <row r="4146" ht="13.5" hidden="1"/>
    <row r="4147" ht="13.5" hidden="1"/>
    <row r="4148" ht="13.5" hidden="1"/>
    <row r="4149" ht="13.5" hidden="1"/>
    <row r="4150" ht="13.5" hidden="1"/>
    <row r="4151" ht="13.5" hidden="1"/>
    <row r="4152" ht="13.5" hidden="1"/>
    <row r="4153" ht="13.5" hidden="1"/>
    <row r="4154" ht="13.5" hidden="1"/>
    <row r="4155" ht="13.5" hidden="1"/>
    <row r="4156" ht="13.5" hidden="1"/>
    <row r="4157" ht="13.5" hidden="1"/>
    <row r="4158" ht="13.5" hidden="1"/>
    <row r="4159" ht="13.5" hidden="1"/>
    <row r="4160" ht="13.5" hidden="1"/>
    <row r="4161" ht="13.5" hidden="1"/>
    <row r="4162" ht="13.5" hidden="1"/>
    <row r="4163" ht="13.5" hidden="1"/>
    <row r="4164" ht="13.5" hidden="1"/>
    <row r="4165" ht="13.5" hidden="1"/>
    <row r="4166" ht="13.5" hidden="1"/>
    <row r="4167" ht="13.5" hidden="1"/>
    <row r="4168" ht="13.5" hidden="1"/>
    <row r="4169" ht="13.5" hidden="1"/>
    <row r="4170" ht="13.5" hidden="1"/>
    <row r="4171" ht="13.5" hidden="1"/>
    <row r="4172" ht="13.5" hidden="1"/>
    <row r="4173" ht="13.5" hidden="1"/>
    <row r="4174" ht="13.5" hidden="1"/>
    <row r="4175" ht="13.5" hidden="1"/>
    <row r="4176" ht="13.5" hidden="1"/>
    <row r="4177" ht="13.5" hidden="1"/>
    <row r="4178" ht="13.5" hidden="1"/>
    <row r="4179" ht="13.5" hidden="1"/>
    <row r="4180" ht="13.5" hidden="1"/>
    <row r="4181" ht="13.5" hidden="1"/>
    <row r="4182" ht="13.5" hidden="1"/>
    <row r="4183" ht="13.5" hidden="1"/>
    <row r="4184" ht="13.5" hidden="1"/>
    <row r="4185" ht="13.5" hidden="1"/>
    <row r="4186" ht="13.5" hidden="1"/>
    <row r="4187" ht="13.5" hidden="1"/>
    <row r="4188" ht="13.5" hidden="1"/>
    <row r="4189" ht="13.5" hidden="1"/>
    <row r="4190" ht="13.5" hidden="1"/>
    <row r="4191" ht="13.5" hidden="1"/>
    <row r="4192" ht="13.5" hidden="1"/>
    <row r="4193" ht="13.5" hidden="1"/>
    <row r="4194" ht="13.5" hidden="1"/>
    <row r="4195" ht="13.5" hidden="1"/>
    <row r="4196" ht="13.5" hidden="1"/>
    <row r="4197" ht="13.5" hidden="1"/>
    <row r="4198" ht="13.5" hidden="1"/>
    <row r="4199" ht="13.5" hidden="1"/>
    <row r="4200" ht="13.5" hidden="1"/>
    <row r="4201" ht="13.5" hidden="1"/>
    <row r="4202" ht="13.5" hidden="1"/>
    <row r="4203" ht="13.5" hidden="1"/>
    <row r="4204" ht="13.5" hidden="1"/>
    <row r="4205" ht="13.5" hidden="1"/>
    <row r="4206" ht="13.5" hidden="1"/>
    <row r="4207" ht="13.5" hidden="1"/>
    <row r="4208" ht="13.5" hidden="1"/>
    <row r="4209" ht="13.5" hidden="1"/>
    <row r="4210" ht="13.5" hidden="1"/>
    <row r="4211" ht="13.5" hidden="1"/>
    <row r="4212" ht="13.5" hidden="1"/>
    <row r="4213" ht="13.5" hidden="1"/>
    <row r="4214" ht="13.5" hidden="1"/>
    <row r="4215" ht="13.5" hidden="1"/>
    <row r="4216" ht="13.5" hidden="1"/>
    <row r="4217" ht="13.5" hidden="1"/>
    <row r="4218" ht="13.5" hidden="1"/>
    <row r="4219" ht="13.5" hidden="1"/>
    <row r="4220" ht="13.5" hidden="1"/>
    <row r="4221" ht="13.5" hidden="1"/>
    <row r="4222" ht="13.5" hidden="1"/>
    <row r="4223" ht="13.5" hidden="1"/>
    <row r="4224" ht="13.5" hidden="1"/>
    <row r="4225" ht="13.5" hidden="1"/>
    <row r="4226" ht="13.5" hidden="1"/>
    <row r="4227" ht="13.5" hidden="1"/>
    <row r="4228" ht="13.5" hidden="1"/>
    <row r="4229" ht="13.5" hidden="1"/>
    <row r="4230" ht="13.5" hidden="1"/>
    <row r="4231" ht="13.5" hidden="1"/>
    <row r="4232" ht="13.5" hidden="1"/>
    <row r="4233" ht="13.5" hidden="1"/>
    <row r="4234" ht="13.5" hidden="1"/>
    <row r="4235" ht="13.5" hidden="1"/>
    <row r="4236" ht="13.5" hidden="1"/>
    <row r="4237" ht="13.5" hidden="1"/>
    <row r="4238" ht="13.5" hidden="1"/>
    <row r="4239" ht="13.5" hidden="1"/>
    <row r="4240" ht="13.5" hidden="1"/>
    <row r="4241" ht="13.5" hidden="1"/>
    <row r="4242" ht="13.5" hidden="1"/>
    <row r="4243" ht="13.5" hidden="1"/>
    <row r="4244" ht="13.5" hidden="1"/>
    <row r="4245" ht="13.5" hidden="1"/>
    <row r="4246" ht="13.5" hidden="1"/>
    <row r="4247" ht="13.5" hidden="1"/>
    <row r="4248" ht="13.5" hidden="1"/>
    <row r="4249" ht="13.5" hidden="1"/>
    <row r="4250" ht="13.5" hidden="1"/>
    <row r="4251" ht="13.5" hidden="1"/>
    <row r="4252" ht="13.5" hidden="1"/>
    <row r="4253" ht="13.5" hidden="1"/>
    <row r="4254" ht="13.5" hidden="1"/>
    <row r="4255" ht="13.5" hidden="1"/>
    <row r="4256" ht="13.5" hidden="1"/>
    <row r="4257" ht="13.5" hidden="1"/>
    <row r="4258" ht="13.5" hidden="1"/>
    <row r="4259" ht="13.5" hidden="1"/>
    <row r="4260" ht="13.5" hidden="1"/>
    <row r="4261" ht="13.5" hidden="1"/>
    <row r="4262" ht="13.5" hidden="1"/>
    <row r="4263" ht="13.5" hidden="1"/>
    <row r="4264" ht="13.5" hidden="1"/>
    <row r="4265" ht="13.5" hidden="1"/>
    <row r="4266" ht="13.5" hidden="1"/>
    <row r="4267" ht="13.5" hidden="1"/>
    <row r="4268" ht="13.5" hidden="1"/>
    <row r="4269" ht="13.5" hidden="1"/>
    <row r="4270" ht="13.5" hidden="1"/>
    <row r="4271" ht="13.5" hidden="1"/>
    <row r="4272" ht="13.5" hidden="1"/>
    <row r="4273" ht="13.5" hidden="1"/>
    <row r="4274" ht="13.5" hidden="1"/>
    <row r="4275" ht="13.5" hidden="1"/>
    <row r="4276" ht="13.5" hidden="1"/>
    <row r="4277" ht="13.5" hidden="1"/>
    <row r="4278" ht="13.5" hidden="1"/>
    <row r="4279" ht="13.5" hidden="1"/>
    <row r="4280" ht="13.5" hidden="1"/>
    <row r="4281" ht="13.5" hidden="1"/>
    <row r="4282" ht="13.5" hidden="1"/>
    <row r="4283" ht="13.5" hidden="1"/>
    <row r="4284" ht="13.5" hidden="1"/>
    <row r="4285" ht="13.5" hidden="1"/>
    <row r="4286" ht="13.5" hidden="1"/>
    <row r="4287" ht="13.5" hidden="1"/>
    <row r="4288" ht="13.5" hidden="1"/>
    <row r="4289" ht="13.5" hidden="1"/>
    <row r="4290" ht="13.5" hidden="1"/>
    <row r="4291" ht="13.5" hidden="1"/>
    <row r="4292" ht="13.5" hidden="1"/>
    <row r="4293" ht="13.5" hidden="1"/>
    <row r="4294" ht="13.5" hidden="1"/>
    <row r="4295" ht="13.5" hidden="1"/>
    <row r="4296" ht="13.5" hidden="1"/>
    <row r="4297" ht="13.5" hidden="1"/>
    <row r="4298" ht="13.5" hidden="1"/>
    <row r="4299" ht="13.5" hidden="1"/>
    <row r="4300" ht="13.5" hidden="1"/>
    <row r="4301" ht="13.5" hidden="1"/>
    <row r="4302" ht="13.5" hidden="1"/>
    <row r="4303" ht="13.5" hidden="1"/>
    <row r="4304" ht="13.5" hidden="1"/>
    <row r="4305" ht="13.5" hidden="1"/>
    <row r="4306" ht="13.5" hidden="1"/>
    <row r="4307" ht="13.5" hidden="1"/>
    <row r="4308" ht="13.5" hidden="1"/>
    <row r="4309" ht="13.5" hidden="1"/>
    <row r="4310" ht="13.5" hidden="1"/>
    <row r="4311" ht="13.5" hidden="1"/>
    <row r="4312" ht="13.5" hidden="1"/>
    <row r="4313" ht="13.5" hidden="1"/>
    <row r="4314" ht="13.5" hidden="1"/>
    <row r="4315" ht="13.5" hidden="1"/>
    <row r="4316" ht="13.5" hidden="1"/>
    <row r="4317" ht="13.5" hidden="1"/>
    <row r="4318" ht="13.5" hidden="1"/>
    <row r="4319" ht="13.5" hidden="1"/>
    <row r="4320" ht="13.5" hidden="1"/>
    <row r="4321" ht="13.5" hidden="1"/>
    <row r="4322" ht="13.5" hidden="1"/>
    <row r="4323" ht="13.5" hidden="1"/>
    <row r="4324" ht="13.5" hidden="1"/>
    <row r="4325" ht="13.5" hidden="1"/>
    <row r="4326" ht="13.5" hidden="1"/>
    <row r="4327" ht="13.5" hidden="1"/>
    <row r="4328" ht="13.5" hidden="1"/>
    <row r="4329" ht="13.5" hidden="1"/>
    <row r="4330" ht="13.5" hidden="1"/>
    <row r="4331" ht="13.5" hidden="1"/>
    <row r="4332" ht="13.5" hidden="1"/>
    <row r="4333" ht="13.5" hidden="1"/>
    <row r="4334" ht="13.5" hidden="1"/>
    <row r="4335" ht="13.5" hidden="1"/>
    <row r="4336" ht="13.5" hidden="1"/>
    <row r="4337" ht="13.5" hidden="1"/>
    <row r="4338" ht="13.5" hidden="1"/>
    <row r="4339" ht="13.5" hidden="1"/>
    <row r="4340" ht="13.5" hidden="1"/>
    <row r="4341" ht="13.5" hidden="1"/>
    <row r="4342" ht="13.5" hidden="1"/>
    <row r="4343" ht="13.5" hidden="1"/>
    <row r="4344" ht="13.5" hidden="1"/>
    <row r="4345" ht="13.5" hidden="1"/>
    <row r="4346" ht="13.5" hidden="1"/>
    <row r="4347" ht="13.5" hidden="1"/>
    <row r="4348" ht="13.5" hidden="1"/>
    <row r="4349" ht="13.5" hidden="1"/>
    <row r="4350" ht="13.5" hidden="1"/>
    <row r="4351" ht="13.5" hidden="1"/>
    <row r="4352" ht="13.5" hidden="1"/>
    <row r="4353" ht="13.5" hidden="1"/>
    <row r="4354" ht="13.5" hidden="1"/>
    <row r="4355" ht="13.5" hidden="1"/>
    <row r="4356" ht="13.5" hidden="1"/>
    <row r="4357" ht="13.5" hidden="1"/>
    <row r="4358" ht="13.5" hidden="1"/>
    <row r="4359" ht="13.5" hidden="1"/>
    <row r="4360" ht="13.5" hidden="1"/>
    <row r="4361" ht="13.5" hidden="1"/>
    <row r="4362" ht="13.5" hidden="1"/>
    <row r="4363" ht="13.5" hidden="1"/>
    <row r="4364" ht="13.5" hidden="1"/>
    <row r="4365" ht="13.5" hidden="1"/>
    <row r="4366" ht="13.5" hidden="1"/>
    <row r="4367" ht="13.5" hidden="1"/>
    <row r="4368" ht="13.5" hidden="1"/>
    <row r="4369" ht="13.5" hidden="1"/>
    <row r="4370" ht="13.5" hidden="1"/>
    <row r="4371" ht="13.5" hidden="1"/>
    <row r="4372" ht="13.5" hidden="1"/>
    <row r="4373" ht="13.5" hidden="1"/>
    <row r="4374" ht="13.5" hidden="1"/>
    <row r="4375" ht="13.5" hidden="1"/>
    <row r="4376" ht="13.5" hidden="1"/>
    <row r="4377" ht="13.5" hidden="1"/>
    <row r="4378" ht="13.5" hidden="1"/>
    <row r="4379" ht="13.5" hidden="1"/>
    <row r="4380" ht="13.5" hidden="1"/>
    <row r="4381" ht="13.5" hidden="1"/>
    <row r="4382" ht="13.5" hidden="1"/>
    <row r="4383" ht="13.5" hidden="1"/>
    <row r="4384" ht="13.5" hidden="1"/>
    <row r="4385" ht="13.5" hidden="1"/>
    <row r="4386" ht="13.5" hidden="1"/>
    <row r="4387" ht="13.5" hidden="1"/>
    <row r="4388" ht="13.5" hidden="1"/>
    <row r="4389" ht="13.5" hidden="1"/>
    <row r="4390" ht="13.5" hidden="1"/>
    <row r="4391" ht="13.5" hidden="1"/>
    <row r="4392" ht="13.5" hidden="1"/>
    <row r="4393" ht="13.5" hidden="1"/>
    <row r="4394" ht="13.5" hidden="1"/>
    <row r="4395" ht="13.5" hidden="1"/>
    <row r="4396" ht="13.5" hidden="1"/>
    <row r="4397" ht="13.5" hidden="1"/>
    <row r="4398" ht="13.5" hidden="1"/>
    <row r="4399" ht="13.5" hidden="1"/>
    <row r="4400" ht="13.5" hidden="1"/>
    <row r="4401" ht="13.5" hidden="1"/>
    <row r="4402" ht="13.5" hidden="1"/>
    <row r="4403" ht="13.5" hidden="1"/>
    <row r="4404" ht="13.5" hidden="1"/>
    <row r="4405" ht="13.5" hidden="1"/>
    <row r="4406" ht="13.5" hidden="1"/>
    <row r="4407" ht="13.5" hidden="1"/>
    <row r="4408" ht="13.5" hidden="1"/>
    <row r="4409" ht="13.5" hidden="1"/>
    <row r="4410" ht="13.5" hidden="1"/>
    <row r="4411" ht="13.5" hidden="1"/>
    <row r="4412" ht="13.5" hidden="1"/>
    <row r="4413" ht="13.5" hidden="1"/>
    <row r="4414" ht="13.5" hidden="1"/>
    <row r="4415" ht="13.5" hidden="1"/>
    <row r="4416" ht="13.5" hidden="1"/>
    <row r="4417" ht="13.5" hidden="1"/>
    <row r="4418" ht="13.5" hidden="1"/>
    <row r="4419" ht="13.5" hidden="1"/>
    <row r="4420" ht="13.5" hidden="1"/>
    <row r="4421" ht="13.5" hidden="1"/>
    <row r="4422" ht="13.5" hidden="1"/>
    <row r="4423" ht="13.5" hidden="1"/>
    <row r="4424" ht="13.5" hidden="1"/>
    <row r="4425" ht="13.5" hidden="1"/>
    <row r="4426" ht="13.5" hidden="1"/>
    <row r="4427" ht="13.5" hidden="1"/>
    <row r="4428" ht="13.5" hidden="1"/>
    <row r="4429" ht="13.5" hidden="1"/>
    <row r="4430" ht="13.5" hidden="1"/>
    <row r="4431" ht="13.5" hidden="1"/>
    <row r="4432" ht="13.5" hidden="1"/>
    <row r="4433" ht="13.5" hidden="1"/>
    <row r="4434" ht="13.5" hidden="1"/>
    <row r="4435" ht="13.5" hidden="1"/>
    <row r="4436" ht="13.5" hidden="1"/>
    <row r="4437" ht="13.5" hidden="1"/>
    <row r="4438" ht="13.5" hidden="1"/>
    <row r="4439" ht="13.5" hidden="1"/>
    <row r="4440" ht="13.5" hidden="1"/>
    <row r="4441" ht="13.5" hidden="1"/>
    <row r="4442" ht="13.5" hidden="1"/>
    <row r="4443" ht="13.5" hidden="1"/>
    <row r="4444" ht="13.5" hidden="1"/>
    <row r="4445" ht="13.5" hidden="1"/>
    <row r="4446" ht="13.5" hidden="1"/>
    <row r="4447" ht="13.5" hidden="1"/>
    <row r="4448" ht="13.5" hidden="1"/>
    <row r="4449" ht="13.5" hidden="1"/>
    <row r="4450" ht="13.5" hidden="1"/>
    <row r="4451" ht="13.5" hidden="1"/>
    <row r="4452" ht="13.5" hidden="1"/>
    <row r="4453" ht="13.5" hidden="1"/>
    <row r="4454" ht="13.5" hidden="1"/>
    <row r="4455" ht="13.5" hidden="1"/>
    <row r="4456" ht="13.5" hidden="1"/>
    <row r="4457" ht="13.5" hidden="1"/>
    <row r="4458" ht="13.5" hidden="1"/>
    <row r="4459" ht="13.5" hidden="1"/>
    <row r="4460" ht="13.5" hidden="1"/>
    <row r="4461" ht="13.5" hidden="1"/>
    <row r="4462" ht="13.5" hidden="1"/>
    <row r="4463" ht="13.5" hidden="1"/>
    <row r="4464" ht="13.5" hidden="1"/>
    <row r="4465" ht="13.5" hidden="1"/>
    <row r="4466" ht="13.5" hidden="1"/>
    <row r="4467" ht="13.5" hidden="1"/>
    <row r="4468" ht="13.5" hidden="1"/>
    <row r="4469" ht="13.5" hidden="1"/>
    <row r="4470" ht="13.5" hidden="1"/>
    <row r="4471" ht="13.5" hidden="1"/>
    <row r="4472" ht="13.5" hidden="1"/>
    <row r="4473" ht="13.5" hidden="1"/>
    <row r="4474" ht="13.5" hidden="1"/>
    <row r="4475" ht="13.5" hidden="1"/>
    <row r="4476" ht="13.5" hidden="1"/>
    <row r="4477" ht="13.5" hidden="1"/>
    <row r="4478" ht="13.5" hidden="1"/>
    <row r="4479" ht="13.5" hidden="1"/>
    <row r="4480" ht="13.5" hidden="1"/>
    <row r="4481" ht="13.5" hidden="1"/>
    <row r="4482" ht="13.5" hidden="1"/>
    <row r="4483" ht="13.5" hidden="1"/>
    <row r="4484" ht="13.5" hidden="1"/>
    <row r="4485" ht="13.5" hidden="1"/>
    <row r="4486" ht="13.5" hidden="1"/>
    <row r="4487" ht="13.5" hidden="1"/>
    <row r="4488" ht="13.5" hidden="1"/>
    <row r="4489" ht="13.5" hidden="1"/>
    <row r="4490" ht="13.5" hidden="1"/>
    <row r="4491" ht="13.5" hidden="1"/>
    <row r="4492" ht="13.5" hidden="1"/>
    <row r="4493" ht="13.5" hidden="1"/>
    <row r="4494" ht="13.5" hidden="1"/>
    <row r="4495" ht="13.5" hidden="1"/>
    <row r="4496" ht="13.5" hidden="1"/>
    <row r="4497" ht="13.5" hidden="1"/>
    <row r="4498" ht="13.5" hidden="1"/>
    <row r="4499" ht="13.5" hidden="1"/>
    <row r="4500" ht="13.5" hidden="1"/>
    <row r="4501" ht="13.5" hidden="1"/>
    <row r="4502" ht="13.5" hidden="1"/>
    <row r="4503" ht="13.5" hidden="1"/>
    <row r="4504" ht="13.5" hidden="1"/>
    <row r="4505" ht="13.5" hidden="1"/>
    <row r="4506" ht="13.5" hidden="1"/>
    <row r="4507" ht="13.5" hidden="1"/>
    <row r="4508" ht="13.5" hidden="1"/>
    <row r="4509" ht="13.5" hidden="1"/>
    <row r="4510" ht="13.5" hidden="1"/>
    <row r="4511" ht="13.5" hidden="1"/>
    <row r="4512" ht="13.5" hidden="1"/>
    <row r="4513" ht="13.5" hidden="1"/>
    <row r="4514" ht="13.5" hidden="1"/>
    <row r="4515" ht="13.5" hidden="1"/>
    <row r="4516" ht="13.5" hidden="1"/>
    <row r="4517" ht="13.5" hidden="1"/>
    <row r="4518" ht="13.5" hidden="1"/>
    <row r="4519" ht="13.5" hidden="1"/>
    <row r="4520" ht="13.5" hidden="1"/>
    <row r="4521" ht="13.5" hidden="1"/>
    <row r="4522" ht="13.5" hidden="1"/>
    <row r="4523" ht="13.5" hidden="1"/>
    <row r="4524" ht="13.5" hidden="1"/>
    <row r="4525" ht="13.5" hidden="1"/>
    <row r="4526" ht="13.5" hidden="1"/>
    <row r="4527" ht="13.5" hidden="1"/>
    <row r="4528" ht="13.5" hidden="1"/>
    <row r="4529" ht="13.5" hidden="1"/>
    <row r="4530" ht="13.5" hidden="1"/>
    <row r="4531" ht="13.5" hidden="1"/>
    <row r="4532" ht="13.5" hidden="1"/>
    <row r="4533" ht="13.5" hidden="1"/>
    <row r="4534" ht="13.5" hidden="1"/>
    <row r="4535" ht="13.5" hidden="1"/>
    <row r="4536" ht="13.5" hidden="1"/>
    <row r="4537" ht="13.5" hidden="1"/>
    <row r="4538" ht="13.5" hidden="1"/>
    <row r="4539" ht="13.5" hidden="1"/>
    <row r="4540" ht="13.5" hidden="1"/>
    <row r="4541" ht="13.5" hidden="1"/>
    <row r="4542" ht="13.5" hidden="1"/>
    <row r="4543" ht="13.5" hidden="1"/>
    <row r="4544" ht="13.5" hidden="1"/>
    <row r="4545" ht="13.5" hidden="1"/>
    <row r="4546" ht="13.5" hidden="1"/>
    <row r="4547" ht="13.5" hidden="1"/>
    <row r="4548" ht="13.5" hidden="1"/>
    <row r="4549" ht="13.5" hidden="1"/>
    <row r="4550" ht="13.5" hidden="1"/>
    <row r="4551" ht="13.5" hidden="1"/>
    <row r="4552" ht="13.5" hidden="1"/>
    <row r="4553" ht="13.5" hidden="1"/>
    <row r="4554" ht="13.5" hidden="1"/>
    <row r="4555" ht="13.5" hidden="1"/>
    <row r="4556" ht="13.5" hidden="1"/>
    <row r="4557" ht="13.5" hidden="1"/>
    <row r="4558" ht="13.5" hidden="1"/>
    <row r="4559" ht="13.5" hidden="1"/>
    <row r="4560" ht="13.5" hidden="1"/>
    <row r="4561" ht="13.5" hidden="1"/>
    <row r="4562" ht="13.5" hidden="1"/>
    <row r="4563" ht="13.5" hidden="1"/>
    <row r="4564" ht="13.5" hidden="1"/>
    <row r="4565" ht="13.5" hidden="1"/>
    <row r="4566" ht="13.5" hidden="1"/>
    <row r="4567" ht="13.5" hidden="1"/>
    <row r="4568" ht="13.5" hidden="1"/>
    <row r="4569" ht="13.5" hidden="1"/>
    <row r="4570" ht="13.5" hidden="1"/>
    <row r="4571" ht="13.5" hidden="1"/>
    <row r="4572" ht="13.5" hidden="1"/>
    <row r="4573" ht="13.5" hidden="1"/>
    <row r="4574" ht="13.5" hidden="1"/>
    <row r="4575" ht="13.5" hidden="1"/>
    <row r="4576" ht="13.5" hidden="1"/>
    <row r="4577" ht="13.5" hidden="1"/>
    <row r="4578" ht="13.5" hidden="1"/>
    <row r="4579" ht="13.5" hidden="1"/>
    <row r="4580" ht="13.5" hidden="1"/>
    <row r="4581" ht="13.5" hidden="1"/>
    <row r="4582" ht="13.5" hidden="1"/>
    <row r="4583" ht="13.5" hidden="1"/>
    <row r="4584" ht="13.5" hidden="1"/>
    <row r="4585" ht="13.5" hidden="1"/>
    <row r="4586" ht="13.5" hidden="1"/>
    <row r="4587" ht="13.5" hidden="1"/>
    <row r="4588" ht="13.5" hidden="1"/>
    <row r="4589" ht="13.5" hidden="1"/>
    <row r="4590" ht="13.5" hidden="1"/>
    <row r="4591" ht="13.5" hidden="1"/>
    <row r="4592" ht="13.5" hidden="1"/>
    <row r="4593" ht="13.5" hidden="1"/>
    <row r="4594" ht="13.5" hidden="1"/>
    <row r="4595" ht="13.5" hidden="1"/>
    <row r="4596" ht="13.5" hidden="1"/>
    <row r="4597" ht="13.5" hidden="1"/>
    <row r="4598" ht="13.5" hidden="1"/>
    <row r="4599" ht="13.5" hidden="1"/>
    <row r="4600" ht="13.5" hidden="1"/>
    <row r="4601" ht="13.5" hidden="1"/>
    <row r="4602" ht="13.5" hidden="1"/>
    <row r="4603" ht="13.5" hidden="1"/>
    <row r="4604" ht="13.5" hidden="1"/>
    <row r="4605" ht="13.5" hidden="1"/>
    <row r="4606" ht="13.5" hidden="1"/>
    <row r="4607" ht="13.5" hidden="1"/>
    <row r="4608" ht="13.5" hidden="1"/>
    <row r="4609" ht="13.5" hidden="1"/>
    <row r="4610" ht="13.5" hidden="1"/>
    <row r="4611" ht="13.5" hidden="1"/>
    <row r="4612" ht="13.5" hidden="1"/>
    <row r="4613" ht="13.5" hidden="1"/>
    <row r="4614" ht="13.5" hidden="1"/>
    <row r="4615" ht="13.5" hidden="1"/>
    <row r="4616" ht="13.5" hidden="1"/>
    <row r="4617" ht="13.5" hidden="1"/>
    <row r="4618" ht="13.5" hidden="1"/>
    <row r="4619" ht="13.5" hidden="1"/>
    <row r="4620" ht="13.5" hidden="1"/>
    <row r="4621" ht="13.5" hidden="1"/>
    <row r="4622" ht="13.5" hidden="1"/>
    <row r="4623" ht="13.5" hidden="1"/>
    <row r="4624" ht="13.5" hidden="1"/>
    <row r="4625" ht="13.5" hidden="1"/>
    <row r="4626" ht="13.5" hidden="1"/>
    <row r="4627" ht="13.5" hidden="1"/>
    <row r="4628" ht="13.5" hidden="1"/>
    <row r="4629" ht="13.5" hidden="1"/>
    <row r="4630" ht="13.5" hidden="1"/>
    <row r="4631" ht="13.5" hidden="1"/>
    <row r="4632" ht="13.5" hidden="1"/>
    <row r="4633" ht="13.5" hidden="1"/>
    <row r="4634" ht="13.5" hidden="1"/>
    <row r="4635" ht="13.5" hidden="1"/>
    <row r="4636" ht="13.5" hidden="1"/>
    <row r="4637" ht="13.5" hidden="1"/>
    <row r="4638" ht="13.5" hidden="1"/>
    <row r="4639" ht="13.5" hidden="1"/>
    <row r="4640" ht="13.5" hidden="1"/>
    <row r="4641" ht="13.5" hidden="1"/>
    <row r="4642" ht="13.5" hidden="1"/>
    <row r="4643" ht="13.5" hidden="1"/>
    <row r="4644" ht="13.5" hidden="1"/>
    <row r="4645" ht="13.5" hidden="1"/>
    <row r="4646" ht="13.5" hidden="1"/>
    <row r="4647" ht="13.5" hidden="1"/>
    <row r="4648" ht="13.5" hidden="1"/>
    <row r="4649" ht="13.5" hidden="1"/>
    <row r="4650" ht="13.5" hidden="1"/>
    <row r="4651" ht="13.5" hidden="1"/>
    <row r="4652" ht="13.5" hidden="1"/>
    <row r="4653" ht="13.5" hidden="1"/>
    <row r="4654" ht="13.5" hidden="1"/>
    <row r="4655" ht="13.5" hidden="1"/>
    <row r="4656" ht="13.5" hidden="1"/>
    <row r="4657" ht="13.5" hidden="1"/>
    <row r="4658" ht="13.5" hidden="1"/>
    <row r="4659" ht="13.5" hidden="1"/>
    <row r="4660" ht="13.5" hidden="1"/>
    <row r="4661" ht="13.5" hidden="1"/>
    <row r="4662" ht="13.5" hidden="1"/>
    <row r="4663" ht="13.5" hidden="1"/>
    <row r="4664" ht="13.5" hidden="1"/>
    <row r="4665" ht="13.5" hidden="1"/>
    <row r="4666" ht="13.5" hidden="1"/>
    <row r="4667" ht="13.5" hidden="1"/>
    <row r="4668" ht="13.5" hidden="1"/>
    <row r="4669" ht="13.5" hidden="1"/>
    <row r="4670" ht="13.5" hidden="1"/>
    <row r="4671" ht="13.5" hidden="1"/>
    <row r="4672" ht="13.5" hidden="1"/>
    <row r="4673" ht="13.5" hidden="1"/>
    <row r="4674" ht="13.5" hidden="1"/>
    <row r="4675" ht="13.5" hidden="1"/>
    <row r="4676" ht="13.5" hidden="1"/>
    <row r="4677" ht="13.5" hidden="1"/>
    <row r="4678" ht="13.5" hidden="1"/>
    <row r="4679" ht="13.5" hidden="1"/>
    <row r="4680" ht="13.5" hidden="1"/>
    <row r="4681" ht="13.5" hidden="1"/>
    <row r="4682" ht="13.5" hidden="1"/>
    <row r="4683" ht="13.5" hidden="1"/>
    <row r="4684" ht="13.5" hidden="1"/>
    <row r="4685" ht="13.5" hidden="1"/>
    <row r="4686" ht="13.5" hidden="1"/>
    <row r="4687" ht="13.5" hidden="1"/>
    <row r="4688" ht="13.5" hidden="1"/>
    <row r="4689" ht="13.5" hidden="1"/>
    <row r="4690" ht="13.5" hidden="1"/>
    <row r="4691" ht="13.5" hidden="1"/>
    <row r="4692" ht="13.5" hidden="1"/>
    <row r="4693" ht="13.5" hidden="1"/>
    <row r="4694" ht="13.5" hidden="1"/>
    <row r="4695" ht="13.5" hidden="1"/>
    <row r="4696" ht="13.5" hidden="1"/>
    <row r="4697" ht="13.5" hidden="1"/>
    <row r="4698" ht="13.5" hidden="1"/>
    <row r="4699" ht="13.5" hidden="1"/>
    <row r="4700" ht="13.5" hidden="1"/>
    <row r="4701" ht="13.5" hidden="1"/>
    <row r="4702" ht="13.5" hidden="1"/>
    <row r="4703" ht="13.5" hidden="1"/>
    <row r="4704" ht="13.5" hidden="1"/>
    <row r="4705" ht="13.5" hidden="1"/>
    <row r="4706" ht="13.5" hidden="1"/>
    <row r="4707" ht="13.5" hidden="1"/>
    <row r="4708" ht="13.5" hidden="1"/>
    <row r="4709" ht="13.5" hidden="1"/>
    <row r="4710" ht="13.5" hidden="1"/>
    <row r="4711" ht="13.5" hidden="1"/>
    <row r="4712" ht="13.5" hidden="1"/>
    <row r="4713" ht="13.5" hidden="1"/>
    <row r="4714" ht="13.5" hidden="1"/>
    <row r="4715" ht="13.5" hidden="1"/>
    <row r="4716" ht="13.5" hidden="1"/>
    <row r="4717" ht="13.5" hidden="1"/>
    <row r="4718" ht="13.5" hidden="1"/>
    <row r="4719" ht="13.5" hidden="1"/>
    <row r="4720" ht="13.5" hidden="1"/>
    <row r="4721" ht="13.5" hidden="1"/>
    <row r="4722" ht="13.5" hidden="1"/>
    <row r="4723" ht="13.5" hidden="1"/>
    <row r="4724" ht="13.5" hidden="1"/>
    <row r="4725" ht="13.5" hidden="1"/>
    <row r="4726" ht="13.5" hidden="1"/>
    <row r="4727" ht="13.5" hidden="1"/>
    <row r="4728" ht="13.5" hidden="1"/>
    <row r="4729" ht="13.5" hidden="1"/>
    <row r="4730" ht="13.5" hidden="1"/>
    <row r="4731" ht="13.5" hidden="1"/>
    <row r="4732" ht="13.5" hidden="1"/>
    <row r="4733" ht="13.5" hidden="1"/>
    <row r="4734" ht="13.5" hidden="1"/>
    <row r="4735" ht="13.5" hidden="1"/>
    <row r="4736" ht="13.5" hidden="1"/>
    <row r="4737" ht="13.5" hidden="1"/>
    <row r="4738" ht="13.5" hidden="1"/>
    <row r="4739" ht="13.5" hidden="1"/>
    <row r="4740" ht="13.5" hidden="1"/>
    <row r="4741" ht="13.5" hidden="1"/>
    <row r="4742" ht="13.5" hidden="1"/>
    <row r="4743" ht="13.5" hidden="1"/>
    <row r="4744" ht="13.5" hidden="1"/>
    <row r="4745" ht="13.5" hidden="1"/>
    <row r="4746" ht="13.5" hidden="1"/>
    <row r="4747" ht="13.5" hidden="1"/>
    <row r="4748" ht="13.5" hidden="1"/>
    <row r="4749" ht="13.5" hidden="1"/>
    <row r="4750" ht="13.5" hidden="1"/>
    <row r="4751" ht="13.5" hidden="1"/>
    <row r="4752" ht="13.5" hidden="1"/>
    <row r="4753" ht="13.5" hidden="1"/>
    <row r="4754" ht="13.5" hidden="1"/>
    <row r="4755" ht="13.5" hidden="1"/>
    <row r="4756" ht="13.5" hidden="1"/>
    <row r="4757" ht="13.5" hidden="1"/>
    <row r="4758" ht="13.5" hidden="1"/>
    <row r="4759" ht="13.5" hidden="1"/>
    <row r="4760" ht="13.5" hidden="1"/>
    <row r="4761" ht="13.5" hidden="1"/>
    <row r="4762" ht="13.5" hidden="1"/>
    <row r="4763" ht="13.5" hidden="1"/>
    <row r="4764" ht="13.5" hidden="1"/>
    <row r="4765" ht="13.5" hidden="1"/>
    <row r="4766" ht="13.5" hidden="1"/>
    <row r="4767" ht="13.5" hidden="1"/>
    <row r="4768" ht="13.5" hidden="1"/>
    <row r="4769" ht="13.5" hidden="1"/>
    <row r="4770" ht="13.5" hidden="1"/>
    <row r="4771" ht="13.5" hidden="1"/>
    <row r="4772" ht="13.5" hidden="1"/>
    <row r="4773" ht="13.5" hidden="1"/>
    <row r="4774" ht="13.5" hidden="1"/>
    <row r="4775" ht="13.5" hidden="1"/>
    <row r="4776" ht="13.5" hidden="1"/>
    <row r="4777" ht="13.5" hidden="1"/>
    <row r="4778" ht="13.5" hidden="1"/>
    <row r="4779" ht="13.5" hidden="1"/>
    <row r="4780" ht="13.5" hidden="1"/>
    <row r="4781" ht="13.5" hidden="1"/>
    <row r="4782" ht="13.5" hidden="1"/>
    <row r="4783" ht="13.5" hidden="1"/>
    <row r="4784" ht="13.5" hidden="1"/>
    <row r="4785" ht="13.5" hidden="1"/>
    <row r="4786" ht="13.5" hidden="1"/>
    <row r="4787" ht="13.5" hidden="1"/>
    <row r="4788" ht="13.5" hidden="1"/>
    <row r="4789" ht="13.5" hidden="1"/>
    <row r="4790" ht="13.5" hidden="1"/>
    <row r="4791" ht="13.5" hidden="1"/>
    <row r="4792" ht="13.5" hidden="1"/>
    <row r="4793" ht="13.5" hidden="1"/>
    <row r="4794" ht="13.5" hidden="1"/>
    <row r="4795" ht="13.5" hidden="1"/>
    <row r="4796" ht="13.5" hidden="1"/>
    <row r="4797" ht="13.5" hidden="1"/>
    <row r="4798" ht="13.5" hidden="1"/>
    <row r="4799" ht="13.5" hidden="1"/>
    <row r="4800" ht="13.5" hidden="1"/>
    <row r="4801" ht="13.5" hidden="1"/>
    <row r="4802" ht="13.5" hidden="1"/>
    <row r="4803" ht="13.5" hidden="1"/>
    <row r="4804" ht="13.5" hidden="1"/>
    <row r="4805" ht="13.5" hidden="1"/>
    <row r="4806" ht="13.5" hidden="1"/>
    <row r="4807" ht="13.5" hidden="1"/>
    <row r="4808" ht="13.5" hidden="1"/>
    <row r="4809" ht="13.5" hidden="1"/>
    <row r="4810" ht="13.5" hidden="1"/>
    <row r="4811" ht="13.5" hidden="1"/>
    <row r="4812" ht="13.5" hidden="1"/>
    <row r="4813" ht="13.5" hidden="1"/>
    <row r="4814" ht="13.5" hidden="1"/>
    <row r="4815" ht="13.5" hidden="1"/>
    <row r="4816" ht="13.5" hidden="1"/>
    <row r="4817" ht="13.5" hidden="1"/>
    <row r="4818" ht="13.5" hidden="1"/>
    <row r="4819" ht="13.5" hidden="1"/>
    <row r="4820" ht="13.5" hidden="1"/>
    <row r="4821" ht="13.5" hidden="1"/>
    <row r="4822" ht="13.5" hidden="1"/>
    <row r="4823" ht="13.5" hidden="1"/>
    <row r="4824" ht="13.5" hidden="1"/>
    <row r="4825" ht="13.5" hidden="1"/>
    <row r="4826" ht="13.5" hidden="1"/>
    <row r="4827" ht="13.5" hidden="1"/>
    <row r="4828" ht="13.5" hidden="1"/>
    <row r="4829" ht="13.5" hidden="1"/>
    <row r="4830" ht="13.5" hidden="1"/>
    <row r="4831" ht="13.5" hidden="1"/>
    <row r="4832" ht="13.5" hidden="1"/>
    <row r="4833" ht="13.5" hidden="1"/>
    <row r="4834" ht="13.5" hidden="1"/>
    <row r="4835" ht="13.5" hidden="1"/>
    <row r="4836" ht="13.5" hidden="1"/>
    <row r="4837" ht="13.5" hidden="1"/>
    <row r="4838" ht="13.5" hidden="1"/>
    <row r="4839" ht="13.5" hidden="1"/>
    <row r="4840" ht="13.5" hidden="1"/>
    <row r="4841" ht="13.5" hidden="1"/>
    <row r="4842" ht="13.5" hidden="1"/>
    <row r="4843" ht="13.5" hidden="1"/>
    <row r="4844" ht="13.5" hidden="1"/>
    <row r="4845" ht="13.5" hidden="1"/>
    <row r="4846" ht="13.5" hidden="1"/>
    <row r="4847" ht="13.5" hidden="1"/>
    <row r="4848" ht="13.5" hidden="1"/>
    <row r="4849" ht="13.5" hidden="1"/>
    <row r="4850" ht="13.5" hidden="1"/>
    <row r="4851" ht="13.5" hidden="1"/>
    <row r="4852" ht="13.5" hidden="1"/>
    <row r="4853" ht="13.5" hidden="1"/>
    <row r="4854" ht="13.5" hidden="1"/>
    <row r="4855" ht="13.5" hidden="1"/>
    <row r="4856" ht="13.5" hidden="1"/>
    <row r="4857" ht="13.5" hidden="1"/>
    <row r="4858" ht="13.5" hidden="1"/>
    <row r="4859" ht="13.5" hidden="1"/>
    <row r="4860" ht="13.5" hidden="1"/>
    <row r="4861" ht="13.5" hidden="1"/>
    <row r="4862" ht="13.5" hidden="1"/>
    <row r="4863" ht="13.5" hidden="1"/>
    <row r="4864" ht="13.5" hidden="1"/>
    <row r="4865" ht="13.5" hidden="1"/>
    <row r="4866" ht="13.5" hidden="1"/>
    <row r="4867" ht="13.5" hidden="1"/>
    <row r="4868" ht="13.5" hidden="1"/>
    <row r="4869" ht="13.5" hidden="1"/>
    <row r="4870" ht="13.5" hidden="1"/>
    <row r="4871" ht="13.5" hidden="1"/>
    <row r="4872" ht="13.5" hidden="1"/>
    <row r="4873" ht="13.5" hidden="1"/>
    <row r="4874" ht="13.5" hidden="1"/>
    <row r="4875" ht="13.5" hidden="1"/>
    <row r="4876" ht="13.5" hidden="1"/>
    <row r="4877" ht="13.5" hidden="1"/>
    <row r="4878" ht="13.5" hidden="1"/>
    <row r="4879" ht="13.5" hidden="1"/>
    <row r="4880" ht="13.5" hidden="1"/>
    <row r="4881" ht="13.5" hidden="1"/>
    <row r="4882" ht="13.5" hidden="1"/>
    <row r="4883" ht="13.5" hidden="1"/>
    <row r="4884" ht="13.5" hidden="1"/>
    <row r="4885" ht="13.5" hidden="1"/>
    <row r="4886" ht="13.5" hidden="1"/>
    <row r="4887" ht="13.5" hidden="1"/>
    <row r="4888" ht="13.5" hidden="1"/>
    <row r="4889" ht="13.5" hidden="1"/>
    <row r="4890" ht="13.5" hidden="1"/>
    <row r="4891" ht="13.5" hidden="1"/>
    <row r="4892" ht="13.5" hidden="1"/>
    <row r="4893" ht="13.5" hidden="1"/>
    <row r="4894" ht="13.5" hidden="1"/>
    <row r="4895" ht="13.5" hidden="1"/>
    <row r="4896" ht="13.5" hidden="1"/>
    <row r="4897" ht="13.5" hidden="1"/>
    <row r="4898" ht="13.5" hidden="1"/>
    <row r="4899" ht="13.5" hidden="1"/>
    <row r="4900" ht="13.5" hidden="1"/>
    <row r="4901" ht="13.5" hidden="1"/>
    <row r="4902" ht="13.5" hidden="1"/>
    <row r="4903" ht="13.5" hidden="1"/>
    <row r="4904" ht="13.5" hidden="1"/>
    <row r="4905" ht="13.5" hidden="1"/>
    <row r="4906" ht="13.5" hidden="1"/>
    <row r="4907" ht="13.5" hidden="1"/>
    <row r="4908" ht="13.5" hidden="1"/>
    <row r="4909" ht="13.5" hidden="1"/>
    <row r="4910" ht="13.5" hidden="1"/>
    <row r="4911" ht="13.5" hidden="1"/>
    <row r="4912" ht="13.5" hidden="1"/>
    <row r="4913" ht="13.5" hidden="1"/>
    <row r="4914" ht="13.5" hidden="1"/>
    <row r="4915" ht="13.5" hidden="1"/>
    <row r="4916" ht="13.5" hidden="1"/>
    <row r="4917" ht="13.5" hidden="1"/>
    <row r="4918" ht="13.5" hidden="1"/>
    <row r="4919" ht="13.5" hidden="1"/>
    <row r="4920" ht="13.5" hidden="1"/>
    <row r="4921" ht="13.5" hidden="1"/>
    <row r="4922" ht="13.5" hidden="1"/>
    <row r="4923" ht="13.5" hidden="1"/>
    <row r="4924" ht="13.5" hidden="1"/>
    <row r="4925" ht="13.5" hidden="1"/>
    <row r="4926" ht="13.5" hidden="1"/>
    <row r="4927" ht="13.5" hidden="1"/>
    <row r="4928" ht="13.5" hidden="1"/>
    <row r="4929" ht="13.5" hidden="1"/>
    <row r="4930" ht="13.5" hidden="1"/>
    <row r="4931" ht="13.5" hidden="1"/>
    <row r="4932" ht="13.5" hidden="1"/>
    <row r="4933" ht="13.5" hidden="1"/>
    <row r="4934" ht="13.5" hidden="1"/>
    <row r="4935" ht="13.5" hidden="1"/>
    <row r="4936" ht="13.5" hidden="1"/>
    <row r="4937" ht="13.5" hidden="1"/>
    <row r="4938" ht="13.5" hidden="1"/>
    <row r="4939" ht="13.5" hidden="1"/>
    <row r="4940" ht="13.5" hidden="1"/>
    <row r="4941" ht="13.5" hidden="1"/>
    <row r="4942" ht="13.5" hidden="1"/>
    <row r="4943" ht="13.5" hidden="1"/>
    <row r="4944" ht="13.5" hidden="1"/>
    <row r="4945" ht="13.5" hidden="1"/>
    <row r="4946" ht="13.5" hidden="1"/>
    <row r="4947" ht="13.5" hidden="1"/>
    <row r="4948" ht="13.5" hidden="1"/>
    <row r="4949" ht="13.5" hidden="1"/>
    <row r="4950" ht="13.5" hidden="1"/>
    <row r="4951" ht="13.5" hidden="1"/>
    <row r="4952" ht="13.5" hidden="1"/>
    <row r="4953" ht="13.5" hidden="1"/>
    <row r="4954" ht="13.5" hidden="1"/>
    <row r="4955" ht="13.5" hidden="1"/>
    <row r="4956" ht="13.5" hidden="1"/>
    <row r="4957" ht="13.5" hidden="1"/>
    <row r="4958" ht="13.5" hidden="1"/>
    <row r="4959" ht="13.5" hidden="1"/>
    <row r="4960" ht="13.5" hidden="1"/>
    <row r="4961" ht="13.5" hidden="1"/>
    <row r="4962" ht="13.5" hidden="1"/>
    <row r="4963" ht="13.5" hidden="1"/>
    <row r="4964" ht="13.5" hidden="1"/>
    <row r="4965" ht="13.5" hidden="1"/>
    <row r="4966" ht="13.5" hidden="1"/>
    <row r="4967" ht="13.5" hidden="1"/>
    <row r="4968" ht="13.5" hidden="1"/>
    <row r="4969" ht="13.5" hidden="1"/>
    <row r="4970" ht="13.5" hidden="1"/>
    <row r="4971" ht="13.5" hidden="1"/>
    <row r="4972" ht="13.5" hidden="1"/>
    <row r="4973" ht="13.5" hidden="1"/>
    <row r="4974" ht="13.5" hidden="1"/>
    <row r="4975" ht="13.5" hidden="1"/>
    <row r="4976" ht="13.5" hidden="1"/>
    <row r="4977" ht="13.5" hidden="1"/>
    <row r="4978" ht="13.5" hidden="1"/>
    <row r="4979" ht="13.5" hidden="1"/>
    <row r="4980" ht="13.5" hidden="1"/>
    <row r="4981" ht="13.5" hidden="1"/>
    <row r="4982" ht="13.5" hidden="1"/>
    <row r="4983" ht="13.5" hidden="1"/>
    <row r="4984" ht="13.5" hidden="1"/>
    <row r="4985" ht="13.5" hidden="1"/>
    <row r="4986" ht="13.5" hidden="1"/>
    <row r="4987" ht="13.5" hidden="1"/>
    <row r="4988" ht="13.5" hidden="1"/>
    <row r="4989" ht="13.5" hidden="1"/>
    <row r="4990" ht="13.5" hidden="1"/>
    <row r="4991" ht="13.5" hidden="1"/>
    <row r="4992" ht="13.5" hidden="1"/>
    <row r="4993" ht="13.5" hidden="1"/>
    <row r="4994" ht="13.5" hidden="1"/>
    <row r="4995" ht="13.5" hidden="1"/>
    <row r="4996" ht="13.5" hidden="1"/>
    <row r="4997" ht="13.5" hidden="1"/>
    <row r="4998" ht="13.5" hidden="1"/>
    <row r="4999" ht="13.5" hidden="1"/>
    <row r="5000" ht="13.5" hidden="1"/>
    <row r="5001" ht="13.5" hidden="1"/>
    <row r="5002" ht="13.5" hidden="1"/>
    <row r="5003" ht="13.5" hidden="1"/>
    <row r="5004" ht="13.5" hidden="1"/>
    <row r="5005" ht="13.5" hidden="1"/>
    <row r="5006" ht="13.5" hidden="1"/>
    <row r="5007" ht="13.5" hidden="1"/>
    <row r="5008" ht="13.5" hidden="1"/>
    <row r="5009" ht="13.5" hidden="1"/>
    <row r="5010" ht="13.5" hidden="1"/>
    <row r="5011" ht="13.5" hidden="1"/>
    <row r="5012" ht="13.5" hidden="1"/>
    <row r="5013" ht="13.5" hidden="1"/>
    <row r="5014" ht="13.5" hidden="1"/>
    <row r="5015" ht="13.5" hidden="1"/>
    <row r="5016" ht="13.5" hidden="1"/>
    <row r="5017" ht="13.5" hidden="1"/>
    <row r="5018" ht="13.5" hidden="1"/>
    <row r="5019" ht="13.5" hidden="1"/>
    <row r="5020" ht="13.5" hidden="1"/>
    <row r="5021" ht="13.5" hidden="1"/>
    <row r="5022" ht="13.5" hidden="1"/>
    <row r="5023" ht="13.5" hidden="1"/>
    <row r="5024" ht="13.5" hidden="1"/>
    <row r="5025" ht="13.5" hidden="1"/>
    <row r="5026" ht="13.5" hidden="1"/>
    <row r="5027" ht="13.5" hidden="1"/>
    <row r="5028" ht="13.5" hidden="1"/>
    <row r="5029" ht="13.5" hidden="1"/>
    <row r="5030" ht="13.5" hidden="1"/>
    <row r="5031" ht="13.5" hidden="1"/>
    <row r="5032" ht="13.5" hidden="1"/>
    <row r="5033" ht="13.5" hidden="1"/>
    <row r="5034" ht="13.5" hidden="1"/>
    <row r="5035" ht="13.5" hidden="1"/>
    <row r="5036" ht="13.5" hidden="1"/>
    <row r="5037" ht="13.5" hidden="1"/>
    <row r="5038" ht="13.5" hidden="1"/>
    <row r="5039" ht="13.5" hidden="1"/>
    <row r="5040" ht="13.5" hidden="1"/>
    <row r="5041" ht="13.5" hidden="1"/>
    <row r="5042" ht="13.5" hidden="1"/>
    <row r="5043" ht="13.5" hidden="1"/>
    <row r="5044" ht="13.5" hidden="1"/>
    <row r="5045" ht="13.5" hidden="1"/>
    <row r="5046" ht="13.5" hidden="1"/>
    <row r="5047" ht="13.5" hidden="1"/>
    <row r="5048" ht="13.5" hidden="1"/>
    <row r="5049" ht="13.5" hidden="1"/>
    <row r="5050" ht="13.5" hidden="1"/>
    <row r="5051" ht="13.5" hidden="1"/>
    <row r="5052" ht="13.5" hidden="1"/>
    <row r="5053" ht="13.5" hidden="1"/>
    <row r="5054" ht="13.5" hidden="1"/>
    <row r="5055" ht="13.5" hidden="1"/>
    <row r="5056" ht="13.5" hidden="1"/>
    <row r="5057" ht="13.5" hidden="1"/>
    <row r="5058" ht="13.5" hidden="1"/>
    <row r="5059" ht="13.5" hidden="1"/>
    <row r="5060" ht="13.5" hidden="1"/>
    <row r="5061" ht="13.5" hidden="1"/>
    <row r="5062" ht="13.5" hidden="1"/>
    <row r="5063" ht="13.5" hidden="1"/>
    <row r="5064" ht="13.5" hidden="1"/>
    <row r="5065" ht="13.5" hidden="1"/>
    <row r="5066" ht="13.5" hidden="1"/>
    <row r="5067" ht="13.5" hidden="1"/>
    <row r="5068" ht="13.5" hidden="1"/>
    <row r="5069" ht="13.5" hidden="1"/>
    <row r="5070" ht="13.5" hidden="1"/>
    <row r="5071" ht="13.5" hidden="1"/>
    <row r="5072" ht="13.5" hidden="1"/>
    <row r="5073" ht="13.5" hidden="1"/>
    <row r="5074" ht="13.5" hidden="1"/>
    <row r="5075" ht="13.5" hidden="1"/>
    <row r="5076" ht="13.5" hidden="1"/>
    <row r="5077" ht="13.5" hidden="1"/>
    <row r="5078" ht="13.5" hidden="1"/>
    <row r="5079" ht="13.5" hidden="1"/>
    <row r="5080" ht="13.5" hidden="1"/>
    <row r="5081" ht="13.5" hidden="1"/>
    <row r="5082" ht="13.5" hidden="1"/>
    <row r="5083" ht="13.5" hidden="1"/>
    <row r="5084" ht="13.5" hidden="1"/>
    <row r="5085" ht="13.5" hidden="1"/>
    <row r="5086" ht="13.5" hidden="1"/>
    <row r="5087" ht="13.5" hidden="1"/>
    <row r="5088" ht="13.5" hidden="1"/>
    <row r="5089" ht="13.5" hidden="1"/>
    <row r="5090" ht="13.5" hidden="1"/>
    <row r="5091" ht="13.5" hidden="1"/>
    <row r="5092" ht="13.5" hidden="1"/>
    <row r="5093" ht="13.5" hidden="1"/>
    <row r="5094" ht="13.5" hidden="1"/>
    <row r="5095" ht="13.5" hidden="1"/>
    <row r="5096" ht="13.5" hidden="1"/>
    <row r="5097" ht="13.5" hidden="1"/>
    <row r="5098" ht="13.5" hidden="1"/>
    <row r="5099" ht="13.5" hidden="1"/>
    <row r="5100" ht="13.5" hidden="1"/>
    <row r="5101" ht="13.5" hidden="1"/>
    <row r="5102" ht="13.5" hidden="1"/>
    <row r="5103" ht="13.5" hidden="1"/>
    <row r="5104" ht="13.5" hidden="1"/>
    <row r="5105" ht="13.5" hidden="1"/>
    <row r="5106" ht="13.5" hidden="1"/>
    <row r="5107" ht="13.5" hidden="1"/>
    <row r="5108" ht="13.5" hidden="1"/>
    <row r="5109" ht="13.5" hidden="1"/>
    <row r="5110" ht="13.5" hidden="1"/>
    <row r="5111" ht="13.5" hidden="1"/>
    <row r="5112" ht="13.5" hidden="1"/>
    <row r="5113" ht="13.5" hidden="1"/>
    <row r="5114" ht="13.5" hidden="1"/>
    <row r="5115" ht="13.5" hidden="1"/>
    <row r="5116" ht="13.5" hidden="1"/>
    <row r="5117" ht="13.5" hidden="1"/>
    <row r="5118" ht="13.5" hidden="1"/>
    <row r="5119" ht="13.5" hidden="1"/>
    <row r="5120" ht="13.5" hidden="1"/>
    <row r="5121" ht="13.5" hidden="1"/>
    <row r="5122" ht="13.5" hidden="1"/>
    <row r="5123" ht="13.5" hidden="1"/>
    <row r="5124" ht="13.5" hidden="1"/>
    <row r="5125" ht="13.5" hidden="1"/>
    <row r="5126" ht="13.5" hidden="1"/>
    <row r="5127" ht="13.5" hidden="1"/>
    <row r="5128" ht="13.5" hidden="1"/>
    <row r="5129" ht="13.5" hidden="1"/>
    <row r="5130" ht="13.5" hidden="1"/>
    <row r="5131" ht="13.5" hidden="1"/>
    <row r="5132" ht="13.5" hidden="1"/>
    <row r="5133" ht="13.5" hidden="1"/>
    <row r="5134" ht="13.5" hidden="1"/>
    <row r="5135" ht="13.5" hidden="1"/>
    <row r="5136" ht="13.5" hidden="1"/>
    <row r="5137" ht="13.5" hidden="1"/>
    <row r="5138" ht="13.5" hidden="1"/>
    <row r="5139" ht="13.5" hidden="1"/>
    <row r="5140" ht="13.5" hidden="1"/>
    <row r="5141" ht="13.5" hidden="1"/>
    <row r="5142" ht="13.5" hidden="1"/>
    <row r="5143" ht="13.5" hidden="1"/>
    <row r="5144" ht="13.5" hidden="1"/>
    <row r="5145" ht="13.5" hidden="1"/>
    <row r="5146" ht="13.5" hidden="1"/>
    <row r="5147" ht="13.5" hidden="1"/>
    <row r="5148" ht="13.5" hidden="1"/>
    <row r="5149" ht="13.5" hidden="1"/>
    <row r="5150" ht="13.5" hidden="1"/>
    <row r="5151" ht="13.5" hidden="1"/>
    <row r="5152" ht="13.5" hidden="1"/>
    <row r="5153" ht="13.5" hidden="1"/>
    <row r="5154" ht="13.5" hidden="1"/>
    <row r="5155" ht="13.5" hidden="1"/>
    <row r="5156" ht="13.5" hidden="1"/>
    <row r="5157" ht="13.5" hidden="1"/>
    <row r="5158" ht="13.5" hidden="1"/>
    <row r="5159" ht="13.5" hidden="1"/>
    <row r="5160" ht="13.5" hidden="1"/>
    <row r="5161" ht="13.5" hidden="1"/>
    <row r="5162" ht="13.5" hidden="1"/>
    <row r="5163" ht="13.5" hidden="1"/>
    <row r="5164" ht="13.5" hidden="1"/>
    <row r="5165" ht="13.5" hidden="1"/>
    <row r="5166" ht="13.5" hidden="1"/>
    <row r="5167" ht="13.5" hidden="1"/>
    <row r="5168" ht="13.5" hidden="1"/>
    <row r="5169" ht="13.5" hidden="1"/>
    <row r="5170" ht="13.5" hidden="1"/>
    <row r="5171" ht="13.5" hidden="1"/>
    <row r="5172" ht="13.5" hidden="1"/>
    <row r="5173" ht="13.5" hidden="1"/>
    <row r="5174" ht="13.5" hidden="1"/>
    <row r="5175" ht="13.5" hidden="1"/>
    <row r="5176" ht="13.5" hidden="1"/>
    <row r="5177" ht="13.5" hidden="1"/>
    <row r="5178" ht="13.5" hidden="1"/>
    <row r="5179" ht="13.5" hidden="1"/>
    <row r="5180" ht="13.5" hidden="1"/>
    <row r="5181" ht="13.5" hidden="1"/>
    <row r="5182" ht="13.5" hidden="1"/>
    <row r="5183" ht="13.5" hidden="1"/>
    <row r="5184" ht="13.5" hidden="1"/>
    <row r="5185" ht="13.5" hidden="1"/>
    <row r="5186" ht="13.5" hidden="1"/>
    <row r="5187" ht="13.5" hidden="1"/>
    <row r="5188" ht="13.5" hidden="1"/>
    <row r="5189" ht="13.5" hidden="1"/>
    <row r="5190" ht="13.5" hidden="1"/>
    <row r="5191" ht="13.5" hidden="1"/>
    <row r="5192" ht="13.5" hidden="1"/>
    <row r="5193" ht="13.5" hidden="1"/>
    <row r="5194" ht="13.5" hidden="1"/>
    <row r="5195" ht="13.5" hidden="1"/>
    <row r="5196" ht="13.5" hidden="1"/>
    <row r="5197" ht="13.5" hidden="1"/>
    <row r="5198" ht="13.5" hidden="1"/>
    <row r="5199" ht="13.5" hidden="1"/>
    <row r="5200" ht="13.5" hidden="1"/>
    <row r="5201" ht="13.5" hidden="1"/>
    <row r="5202" ht="13.5" hidden="1"/>
    <row r="5203" ht="13.5" hidden="1"/>
    <row r="5204" ht="13.5" hidden="1"/>
    <row r="5205" ht="13.5" hidden="1"/>
    <row r="5206" ht="13.5" hidden="1"/>
    <row r="5207" ht="13.5" hidden="1"/>
    <row r="5208" ht="13.5" hidden="1"/>
    <row r="5209" ht="13.5" hidden="1"/>
    <row r="5210" ht="13.5" hidden="1"/>
    <row r="5211" ht="13.5" hidden="1"/>
    <row r="5212" ht="13.5" hidden="1"/>
    <row r="5213" ht="13.5" hidden="1"/>
    <row r="5214" ht="13.5" hidden="1"/>
    <row r="5215" ht="13.5" hidden="1"/>
    <row r="5216" ht="13.5" hidden="1"/>
    <row r="5217" ht="13.5" hidden="1"/>
    <row r="5218" ht="13.5" hidden="1"/>
    <row r="5219" ht="13.5" hidden="1"/>
    <row r="5220" ht="13.5" hidden="1"/>
    <row r="5221" ht="13.5" hidden="1"/>
    <row r="5222" ht="13.5" hidden="1"/>
    <row r="5223" ht="13.5" hidden="1"/>
    <row r="5224" ht="13.5" hidden="1"/>
    <row r="5225" ht="13.5" hidden="1"/>
    <row r="5226" ht="13.5" hidden="1"/>
    <row r="5227" ht="13.5" hidden="1"/>
    <row r="5228" ht="13.5" hidden="1"/>
    <row r="5229" ht="13.5" hidden="1"/>
    <row r="5230" ht="13.5" hidden="1"/>
    <row r="5231" ht="13.5" hidden="1"/>
    <row r="5232" ht="13.5" hidden="1"/>
    <row r="5233" ht="13.5" hidden="1"/>
    <row r="5234" ht="13.5" hidden="1"/>
    <row r="5235" ht="13.5" hidden="1"/>
    <row r="5236" ht="13.5" hidden="1"/>
    <row r="5237" ht="13.5" hidden="1"/>
    <row r="5238" ht="13.5" hidden="1"/>
    <row r="5239" ht="13.5" hidden="1"/>
    <row r="5240" ht="13.5" hidden="1"/>
    <row r="5241" ht="13.5" hidden="1"/>
    <row r="5242" ht="13.5" hidden="1"/>
    <row r="5243" ht="13.5" hidden="1"/>
    <row r="5244" ht="13.5" hidden="1"/>
    <row r="5245" ht="13.5" hidden="1"/>
    <row r="5246" ht="13.5" hidden="1"/>
    <row r="5247" ht="13.5" hidden="1"/>
    <row r="5248" ht="13.5" hidden="1"/>
    <row r="5249" ht="13.5" hidden="1"/>
    <row r="5250" ht="13.5" hidden="1"/>
    <row r="5251" ht="13.5" hidden="1"/>
    <row r="5252" ht="13.5" hidden="1"/>
    <row r="5253" ht="13.5" hidden="1"/>
    <row r="5254" ht="13.5" hidden="1"/>
    <row r="5255" ht="13.5" hidden="1"/>
    <row r="5256" ht="13.5" hidden="1"/>
    <row r="5257" ht="13.5" hidden="1"/>
    <row r="5258" ht="13.5" hidden="1"/>
    <row r="5259" ht="13.5" hidden="1"/>
    <row r="5260" ht="13.5" hidden="1"/>
    <row r="5261" ht="13.5" hidden="1"/>
    <row r="5262" ht="13.5" hidden="1"/>
    <row r="5263" ht="13.5" hidden="1"/>
    <row r="5264" ht="13.5" hidden="1"/>
    <row r="5265" ht="13.5" hidden="1"/>
    <row r="5266" ht="13.5" hidden="1"/>
    <row r="5267" ht="13.5" hidden="1"/>
    <row r="5268" ht="13.5" hidden="1"/>
    <row r="5269" ht="13.5" hidden="1"/>
    <row r="5270" ht="13.5" hidden="1"/>
    <row r="5271" ht="13.5" hidden="1"/>
    <row r="5272" ht="13.5" hidden="1"/>
    <row r="5273" ht="13.5" hidden="1"/>
    <row r="5274" ht="13.5" hidden="1"/>
    <row r="5275" ht="13.5" hidden="1"/>
    <row r="5276" ht="13.5" hidden="1"/>
    <row r="5277" ht="13.5" hidden="1"/>
    <row r="5278" ht="13.5" hidden="1"/>
    <row r="5279" ht="13.5" hidden="1"/>
    <row r="5280" ht="13.5" hidden="1"/>
    <row r="5281" ht="13.5" hidden="1"/>
    <row r="5282" ht="13.5" hidden="1"/>
    <row r="5283" ht="13.5" hidden="1"/>
    <row r="5284" ht="13.5" hidden="1"/>
    <row r="5285" ht="13.5" hidden="1"/>
    <row r="5286" ht="13.5" hidden="1"/>
    <row r="5287" ht="13.5" hidden="1"/>
    <row r="5288" ht="13.5" hidden="1"/>
    <row r="5289" ht="13.5" hidden="1"/>
    <row r="5290" ht="13.5" hidden="1"/>
    <row r="5291" ht="13.5" hidden="1"/>
    <row r="5292" ht="13.5" hidden="1"/>
    <row r="5293" ht="13.5" hidden="1"/>
    <row r="5294" ht="13.5" hidden="1"/>
    <row r="5295" ht="13.5" hidden="1"/>
    <row r="5296" ht="13.5" hidden="1"/>
    <row r="5297" ht="13.5" hidden="1"/>
    <row r="5298" ht="13.5" hidden="1"/>
    <row r="5299" ht="13.5" hidden="1"/>
    <row r="5300" ht="13.5" hidden="1"/>
    <row r="5301" ht="13.5" hidden="1"/>
    <row r="5302" ht="13.5" hidden="1"/>
    <row r="5303" ht="13.5" hidden="1"/>
    <row r="5304" ht="13.5" hidden="1"/>
    <row r="5305" ht="13.5" hidden="1"/>
    <row r="5306" ht="13.5" hidden="1"/>
    <row r="5307" ht="13.5" hidden="1"/>
    <row r="5308" ht="13.5" hidden="1"/>
    <row r="5309" ht="13.5" hidden="1"/>
    <row r="5310" ht="13.5" hidden="1"/>
    <row r="5311" ht="13.5" hidden="1"/>
    <row r="5312" ht="13.5" hidden="1"/>
    <row r="5313" ht="13.5" hidden="1"/>
    <row r="5314" ht="13.5" hidden="1"/>
    <row r="5315" ht="13.5" hidden="1"/>
    <row r="5316" ht="13.5" hidden="1"/>
    <row r="5317" ht="13.5" hidden="1"/>
    <row r="5318" ht="13.5" hidden="1"/>
    <row r="5319" ht="13.5" hidden="1"/>
    <row r="5320" ht="13.5" hidden="1"/>
    <row r="5321" ht="13.5" hidden="1"/>
    <row r="5322" ht="13.5" hidden="1"/>
    <row r="5323" ht="13.5" hidden="1"/>
    <row r="5324" ht="13.5" hidden="1"/>
    <row r="5325" ht="13.5" hidden="1"/>
    <row r="5326" ht="13.5" hidden="1"/>
    <row r="5327" ht="13.5" hidden="1"/>
    <row r="5328" ht="13.5" hidden="1"/>
    <row r="5329" ht="13.5" hidden="1"/>
    <row r="5330" ht="13.5" hidden="1"/>
    <row r="5331" ht="13.5" hidden="1"/>
    <row r="5332" ht="13.5" hidden="1"/>
    <row r="5333" ht="13.5" hidden="1"/>
    <row r="5334" ht="13.5" hidden="1"/>
    <row r="5335" ht="13.5" hidden="1"/>
    <row r="5336" ht="13.5" hidden="1"/>
    <row r="5337" ht="13.5" hidden="1"/>
    <row r="5338" ht="13.5" hidden="1"/>
    <row r="5339" ht="13.5" hidden="1"/>
    <row r="5340" ht="13.5" hidden="1"/>
    <row r="5341" ht="13.5" hidden="1"/>
    <row r="5342" ht="13.5" hidden="1"/>
    <row r="5343" ht="13.5" hidden="1"/>
    <row r="5344" ht="13.5" hidden="1"/>
    <row r="5345" ht="13.5" hidden="1"/>
    <row r="5346" ht="13.5" hidden="1"/>
    <row r="5347" ht="13.5" hidden="1"/>
    <row r="5348" ht="13.5" hidden="1"/>
    <row r="5349" ht="13.5" hidden="1"/>
    <row r="5350" ht="13.5" hidden="1"/>
    <row r="5351" ht="13.5" hidden="1"/>
    <row r="5352" ht="13.5" hidden="1"/>
    <row r="5353" ht="13.5" hidden="1"/>
    <row r="5354" ht="13.5" hidden="1"/>
    <row r="5355" ht="13.5" hidden="1"/>
    <row r="5356" ht="13.5" hidden="1"/>
    <row r="5357" ht="13.5" hidden="1"/>
    <row r="5358" ht="13.5" hidden="1"/>
    <row r="5359" ht="13.5" hidden="1"/>
    <row r="5360" ht="13.5" hidden="1"/>
    <row r="5361" ht="13.5" hidden="1"/>
    <row r="5362" ht="13.5" hidden="1"/>
    <row r="5363" ht="13.5" hidden="1"/>
    <row r="5364" ht="13.5" hidden="1"/>
    <row r="5365" ht="13.5" hidden="1"/>
    <row r="5366" ht="13.5" hidden="1"/>
    <row r="5367" ht="13.5" hidden="1"/>
    <row r="5368" ht="13.5" hidden="1"/>
    <row r="5369" ht="13.5" hidden="1"/>
    <row r="5370" ht="13.5" hidden="1"/>
    <row r="5371" ht="13.5" hidden="1"/>
    <row r="5372" ht="13.5" hidden="1"/>
    <row r="5373" ht="13.5" hidden="1"/>
    <row r="5374" ht="13.5" hidden="1"/>
    <row r="5375" ht="13.5" hidden="1"/>
    <row r="5376" ht="13.5" hidden="1"/>
    <row r="5377" ht="13.5" hidden="1"/>
    <row r="5378" ht="13.5" hidden="1"/>
    <row r="5379" ht="13.5" hidden="1"/>
    <row r="5380" ht="13.5" hidden="1"/>
    <row r="5381" ht="13.5" hidden="1"/>
    <row r="5382" ht="13.5" hidden="1"/>
    <row r="5383" ht="13.5" hidden="1"/>
    <row r="5384" ht="13.5" hidden="1"/>
    <row r="5385" ht="13.5" hidden="1"/>
    <row r="5386" ht="13.5" hidden="1"/>
    <row r="5387" ht="13.5" hidden="1"/>
    <row r="5388" ht="13.5" hidden="1"/>
    <row r="5389" ht="13.5" hidden="1"/>
    <row r="5390" ht="13.5" hidden="1"/>
    <row r="5391" ht="13.5" hidden="1"/>
    <row r="5392" ht="13.5" hidden="1"/>
    <row r="5393" ht="13.5" hidden="1"/>
    <row r="5394" ht="13.5" hidden="1"/>
    <row r="5395" ht="13.5" hidden="1"/>
    <row r="5396" ht="13.5" hidden="1"/>
    <row r="5397" ht="13.5" hidden="1"/>
    <row r="5398" ht="13.5" hidden="1"/>
    <row r="5399" ht="13.5" hidden="1"/>
    <row r="5400" ht="13.5" hidden="1"/>
    <row r="5401" ht="13.5" hidden="1"/>
    <row r="5402" ht="13.5" hidden="1"/>
    <row r="5403" ht="13.5" hidden="1"/>
    <row r="5404" ht="13.5" hidden="1"/>
    <row r="5405" ht="13.5" hidden="1"/>
    <row r="5406" ht="13.5" hidden="1"/>
    <row r="5407" ht="13.5" hidden="1"/>
    <row r="5408" ht="13.5" hidden="1"/>
    <row r="5409" ht="13.5" hidden="1"/>
    <row r="5410" ht="13.5" hidden="1"/>
    <row r="5411" ht="13.5" hidden="1"/>
    <row r="5412" ht="13.5" hidden="1"/>
    <row r="5413" ht="13.5" hidden="1"/>
    <row r="5414" ht="13.5" hidden="1"/>
    <row r="5415" ht="13.5" hidden="1"/>
    <row r="5416" ht="13.5" hidden="1"/>
    <row r="5417" ht="13.5" hidden="1"/>
    <row r="5418" ht="13.5" hidden="1"/>
    <row r="5419" ht="13.5" hidden="1"/>
    <row r="5420" ht="13.5" hidden="1"/>
    <row r="5421" ht="13.5" hidden="1"/>
    <row r="5422" ht="13.5" hidden="1"/>
    <row r="5423" ht="13.5" hidden="1"/>
    <row r="5424" ht="13.5" hidden="1"/>
    <row r="5425" ht="13.5" hidden="1"/>
    <row r="5426" ht="13.5" hidden="1"/>
    <row r="5427" ht="13.5" hidden="1"/>
    <row r="5428" ht="13.5" hidden="1"/>
    <row r="5429" ht="13.5" hidden="1"/>
    <row r="5430" ht="13.5" hidden="1"/>
    <row r="5431" ht="13.5" hidden="1"/>
    <row r="5432" ht="13.5" hidden="1"/>
    <row r="5433" ht="13.5" hidden="1"/>
    <row r="5434" ht="13.5" hidden="1"/>
    <row r="5435" ht="13.5" hidden="1"/>
    <row r="5436" ht="13.5" hidden="1"/>
    <row r="5437" ht="13.5" hidden="1"/>
    <row r="5438" ht="13.5" hidden="1"/>
    <row r="5439" ht="13.5" hidden="1"/>
    <row r="5440" ht="13.5" hidden="1"/>
    <row r="5441" ht="13.5" hidden="1"/>
    <row r="5442" ht="13.5" hidden="1"/>
    <row r="5443" ht="13.5" hidden="1"/>
    <row r="5444" ht="13.5" hidden="1"/>
    <row r="5445" ht="13.5" hidden="1"/>
    <row r="5446" ht="13.5" hidden="1"/>
    <row r="5447" ht="13.5" hidden="1"/>
    <row r="5448" ht="13.5" hidden="1"/>
    <row r="5449" ht="13.5" hidden="1"/>
    <row r="5450" ht="13.5" hidden="1"/>
    <row r="5451" ht="13.5" hidden="1"/>
    <row r="5452" ht="13.5" hidden="1"/>
    <row r="5453" ht="13.5" hidden="1"/>
    <row r="5454" ht="13.5" hidden="1"/>
    <row r="5455" ht="13.5" hidden="1"/>
    <row r="5456" ht="13.5" hidden="1"/>
    <row r="5457" ht="13.5" hidden="1"/>
    <row r="5458" ht="13.5" hidden="1"/>
    <row r="5459" ht="13.5" hidden="1"/>
    <row r="5460" ht="13.5" hidden="1"/>
    <row r="5461" ht="13.5" hidden="1"/>
    <row r="5462" ht="13.5" hidden="1"/>
    <row r="5463" ht="13.5" hidden="1"/>
    <row r="5464" ht="13.5" hidden="1"/>
    <row r="5465" ht="13.5" hidden="1"/>
    <row r="5466" ht="13.5" hidden="1"/>
    <row r="5467" ht="13.5" hidden="1"/>
    <row r="5468" ht="13.5" hidden="1"/>
    <row r="5469" ht="13.5" hidden="1"/>
    <row r="5470" ht="13.5" hidden="1"/>
    <row r="5471" ht="13.5" hidden="1"/>
    <row r="5472" ht="13.5" hidden="1"/>
    <row r="5473" ht="13.5" hidden="1"/>
    <row r="5474" ht="13.5" hidden="1"/>
    <row r="5475" ht="13.5" hidden="1"/>
    <row r="5476" ht="13.5" hidden="1"/>
    <row r="5477" ht="13.5" hidden="1"/>
    <row r="5478" ht="13.5" hidden="1"/>
    <row r="5479" ht="13.5" hidden="1"/>
    <row r="5480" ht="13.5" hidden="1"/>
    <row r="5481" ht="13.5" hidden="1"/>
    <row r="5482" ht="13.5" hidden="1"/>
    <row r="5483" ht="13.5" hidden="1"/>
    <row r="5484" ht="13.5" hidden="1"/>
    <row r="5485" ht="13.5" hidden="1"/>
    <row r="5486" ht="13.5" hidden="1"/>
    <row r="5487" ht="13.5" hidden="1"/>
    <row r="5488" ht="13.5" hidden="1"/>
    <row r="5489" ht="13.5" hidden="1"/>
    <row r="5490" ht="13.5" hidden="1"/>
    <row r="5491" ht="13.5" hidden="1"/>
    <row r="5492" ht="13.5" hidden="1"/>
    <row r="5493" ht="13.5" hidden="1"/>
    <row r="5494" ht="13.5" hidden="1"/>
    <row r="5495" ht="13.5" hidden="1"/>
    <row r="5496" ht="13.5" hidden="1"/>
    <row r="5497" ht="13.5" hidden="1"/>
    <row r="5498" ht="13.5" hidden="1"/>
    <row r="5499" ht="13.5" hidden="1"/>
    <row r="5500" ht="13.5" hidden="1"/>
    <row r="5501" ht="13.5" hidden="1"/>
    <row r="5502" ht="13.5" hidden="1"/>
    <row r="5503" ht="13.5" hidden="1"/>
    <row r="5504" ht="13.5" hidden="1"/>
    <row r="5505" ht="13.5" hidden="1"/>
    <row r="5506" ht="13.5" hidden="1"/>
    <row r="5507" ht="13.5" hidden="1"/>
    <row r="5508" ht="13.5" hidden="1"/>
    <row r="5509" ht="13.5" hidden="1"/>
    <row r="5510" ht="13.5" hidden="1"/>
    <row r="5511" ht="13.5" hidden="1"/>
    <row r="5512" ht="13.5" hidden="1"/>
    <row r="5513" ht="13.5" hidden="1"/>
    <row r="5514" ht="13.5" hidden="1"/>
    <row r="5515" ht="13.5" hidden="1"/>
    <row r="5516" ht="13.5" hidden="1"/>
    <row r="5517" ht="13.5" hidden="1"/>
    <row r="5518" ht="13.5" hidden="1"/>
    <row r="5519" ht="13.5" hidden="1"/>
    <row r="5520" ht="13.5" hidden="1"/>
    <row r="5521" ht="13.5" hidden="1"/>
    <row r="5522" ht="13.5" hidden="1"/>
    <row r="5523" ht="13.5" hidden="1"/>
    <row r="5524" ht="13.5" hidden="1"/>
    <row r="5525" ht="13.5" hidden="1"/>
    <row r="5526" ht="13.5" hidden="1"/>
    <row r="5527" ht="13.5" hidden="1"/>
    <row r="5528" ht="13.5" hidden="1"/>
    <row r="5529" ht="13.5" hidden="1"/>
    <row r="5530" ht="13.5" hidden="1"/>
    <row r="5531" ht="13.5" hidden="1"/>
    <row r="5532" ht="13.5" hidden="1"/>
    <row r="5533" ht="13.5" hidden="1"/>
    <row r="5534" ht="13.5" hidden="1"/>
    <row r="5535" ht="13.5" hidden="1"/>
    <row r="5536" ht="13.5" hidden="1"/>
    <row r="5537" ht="13.5" hidden="1"/>
    <row r="5538" ht="13.5" hidden="1"/>
    <row r="5539" ht="13.5" hidden="1"/>
    <row r="5540" ht="13.5" hidden="1"/>
    <row r="5541" ht="13.5" hidden="1"/>
    <row r="5542" ht="13.5" hidden="1"/>
    <row r="5543" ht="13.5" hidden="1"/>
    <row r="5544" ht="13.5" hidden="1"/>
    <row r="5545" ht="13.5" hidden="1"/>
    <row r="5546" ht="13.5" hidden="1"/>
    <row r="5547" ht="13.5" hidden="1"/>
    <row r="5548" ht="13.5" hidden="1"/>
    <row r="5549" ht="13.5" hidden="1"/>
    <row r="5550" ht="13.5" hidden="1"/>
    <row r="5551" ht="13.5" hidden="1"/>
    <row r="5552" ht="13.5" hidden="1"/>
    <row r="5553" ht="13.5" hidden="1"/>
    <row r="5554" ht="13.5" hidden="1"/>
    <row r="5555" ht="13.5" hidden="1"/>
    <row r="5556" ht="13.5" hidden="1"/>
    <row r="5557" ht="13.5" hidden="1"/>
    <row r="5558" ht="13.5" hidden="1"/>
    <row r="5559" ht="13.5" hidden="1"/>
    <row r="5560" ht="13.5" hidden="1"/>
    <row r="5561" ht="13.5" hidden="1"/>
    <row r="5562" ht="13.5" hidden="1"/>
    <row r="5563" ht="13.5" hidden="1"/>
    <row r="5564" ht="13.5" hidden="1"/>
    <row r="5565" ht="13.5" hidden="1"/>
    <row r="5566" ht="13.5" hidden="1"/>
    <row r="5567" ht="13.5" hidden="1"/>
    <row r="5568" ht="13.5" hidden="1"/>
    <row r="5569" ht="13.5" hidden="1"/>
    <row r="5570" ht="13.5" hidden="1"/>
    <row r="5571" ht="13.5" hidden="1"/>
    <row r="5572" ht="13.5" hidden="1"/>
    <row r="5573" ht="13.5" hidden="1"/>
    <row r="5574" ht="13.5" hidden="1"/>
    <row r="5575" ht="13.5" hidden="1"/>
    <row r="5576" ht="13.5" hidden="1"/>
    <row r="5577" ht="13.5" hidden="1"/>
    <row r="5578" ht="13.5" hidden="1"/>
    <row r="5579" ht="13.5" hidden="1"/>
    <row r="5580" ht="13.5" hidden="1"/>
    <row r="5581" ht="13.5" hidden="1"/>
    <row r="5582" ht="13.5" hidden="1"/>
    <row r="5583" ht="13.5" hidden="1"/>
    <row r="5584" ht="13.5" hidden="1"/>
    <row r="5585" ht="13.5" hidden="1"/>
    <row r="5586" ht="13.5" hidden="1"/>
    <row r="5587" ht="13.5" hidden="1"/>
    <row r="5588" ht="13.5" hidden="1"/>
    <row r="5589" ht="13.5" hidden="1"/>
    <row r="5590" ht="13.5" hidden="1"/>
    <row r="5591" ht="13.5" hidden="1"/>
    <row r="5592" ht="13.5" hidden="1"/>
    <row r="5593" ht="13.5" hidden="1"/>
    <row r="5594" ht="13.5" hidden="1"/>
    <row r="5595" ht="13.5" hidden="1"/>
    <row r="5596" ht="13.5" hidden="1"/>
    <row r="5597" ht="13.5" hidden="1"/>
    <row r="5598" ht="13.5" hidden="1"/>
    <row r="5599" ht="13.5" hidden="1"/>
    <row r="5600" ht="13.5" hidden="1"/>
    <row r="5601" ht="13.5" hidden="1"/>
    <row r="5602" ht="13.5" hidden="1"/>
    <row r="5603" ht="13.5" hidden="1"/>
    <row r="5604" ht="13.5" hidden="1"/>
    <row r="5605" ht="13.5" hidden="1"/>
    <row r="5606" ht="13.5" hidden="1"/>
    <row r="5607" ht="13.5" hidden="1"/>
    <row r="5608" ht="13.5" hidden="1"/>
    <row r="5609" ht="13.5" hidden="1"/>
    <row r="5610" ht="13.5" hidden="1"/>
    <row r="5611" ht="13.5" hidden="1"/>
    <row r="5612" ht="13.5" hidden="1"/>
    <row r="5613" ht="13.5" hidden="1"/>
    <row r="5614" ht="13.5" hidden="1"/>
    <row r="5615" ht="13.5" hidden="1"/>
    <row r="5616" ht="13.5" hidden="1"/>
    <row r="5617" ht="13.5" hidden="1"/>
    <row r="5618" ht="13.5" hidden="1"/>
    <row r="5619" ht="13.5" hidden="1"/>
    <row r="5620" ht="13.5" hidden="1"/>
    <row r="5621" ht="13.5" hidden="1"/>
    <row r="5622" ht="13.5" hidden="1"/>
    <row r="5623" ht="13.5" hidden="1"/>
    <row r="5624" ht="13.5" hidden="1"/>
    <row r="5625" ht="13.5" hidden="1"/>
    <row r="5626" ht="13.5" hidden="1"/>
    <row r="5627" ht="13.5" hidden="1"/>
    <row r="5628" ht="13.5" hidden="1"/>
    <row r="5629" ht="13.5" hidden="1"/>
    <row r="5630" ht="13.5" hidden="1"/>
    <row r="5631" ht="13.5" hidden="1"/>
    <row r="5632" ht="13.5" hidden="1"/>
    <row r="5633" ht="13.5" hidden="1"/>
    <row r="5634" ht="13.5" hidden="1"/>
    <row r="5635" ht="13.5" hidden="1"/>
    <row r="5636" ht="13.5" hidden="1"/>
    <row r="5637" ht="13.5" hidden="1"/>
    <row r="5638" ht="13.5" hidden="1"/>
    <row r="5639" ht="13.5" hidden="1"/>
    <row r="5640" ht="13.5" hidden="1"/>
    <row r="5641" ht="13.5" hidden="1"/>
    <row r="5642" ht="13.5" hidden="1"/>
    <row r="5643" ht="13.5" hidden="1"/>
    <row r="5644" ht="13.5" hidden="1"/>
    <row r="5645" ht="13.5" hidden="1"/>
    <row r="5646" ht="13.5" hidden="1"/>
    <row r="5647" ht="13.5" hidden="1"/>
    <row r="5648" ht="13.5" hidden="1"/>
    <row r="5649" ht="13.5" hidden="1"/>
    <row r="5650" ht="13.5" hidden="1"/>
    <row r="5651" ht="13.5" hidden="1"/>
    <row r="5652" ht="13.5" hidden="1"/>
    <row r="5653" ht="13.5" hidden="1"/>
    <row r="5654" ht="13.5" hidden="1"/>
    <row r="5655" ht="13.5" hidden="1"/>
    <row r="5656" ht="13.5" hidden="1"/>
    <row r="5657" ht="13.5" hidden="1"/>
    <row r="5658" ht="13.5" hidden="1"/>
    <row r="5659" ht="13.5" hidden="1"/>
    <row r="5660" ht="13.5" hidden="1"/>
    <row r="5661" ht="13.5" hidden="1"/>
    <row r="5662" ht="13.5" hidden="1"/>
    <row r="5663" ht="13.5" hidden="1"/>
    <row r="5664" ht="13.5" hidden="1"/>
    <row r="5665" ht="13.5" hidden="1"/>
    <row r="5666" ht="13.5" hidden="1"/>
    <row r="5667" ht="13.5" hidden="1"/>
    <row r="5668" ht="13.5" hidden="1"/>
    <row r="5669" ht="13.5" hidden="1"/>
    <row r="5670" ht="13.5" hidden="1"/>
    <row r="5671" ht="13.5" hidden="1"/>
    <row r="5672" ht="13.5" hidden="1"/>
    <row r="5673" ht="13.5" hidden="1"/>
    <row r="5674" ht="13.5" hidden="1"/>
    <row r="5675" ht="13.5" hidden="1"/>
    <row r="5676" ht="13.5" hidden="1"/>
    <row r="5677" ht="13.5" hidden="1"/>
    <row r="5678" ht="13.5" hidden="1"/>
    <row r="5679" ht="13.5" hidden="1"/>
    <row r="5680" ht="13.5" hidden="1"/>
    <row r="5681" ht="13.5" hidden="1"/>
    <row r="5682" ht="13.5" hidden="1"/>
    <row r="5683" ht="13.5" hidden="1"/>
    <row r="5684" ht="13.5" hidden="1"/>
    <row r="5685" ht="13.5" hidden="1"/>
    <row r="5686" ht="13.5" hidden="1"/>
    <row r="5687" ht="13.5" hidden="1"/>
    <row r="5688" ht="13.5" hidden="1"/>
    <row r="5689" ht="13.5" hidden="1"/>
    <row r="5690" ht="13.5" hidden="1"/>
    <row r="5691" ht="13.5" hidden="1"/>
    <row r="5692" ht="13.5" hidden="1"/>
    <row r="5693" ht="13.5" hidden="1"/>
    <row r="5694" ht="13.5" hidden="1"/>
    <row r="5695" ht="13.5" hidden="1"/>
    <row r="5696" ht="13.5" hidden="1"/>
    <row r="5697" ht="13.5" hidden="1"/>
    <row r="5698" ht="13.5" hidden="1"/>
    <row r="5699" ht="13.5" hidden="1"/>
    <row r="5700" ht="13.5" hidden="1"/>
    <row r="5701" ht="13.5" hidden="1"/>
    <row r="5702" ht="13.5" hidden="1"/>
    <row r="5703" ht="13.5" hidden="1"/>
    <row r="5704" ht="13.5" hidden="1"/>
    <row r="5705" ht="13.5" hidden="1"/>
    <row r="5706" ht="13.5" hidden="1"/>
    <row r="5707" ht="13.5" hidden="1"/>
    <row r="5708" ht="13.5" hidden="1"/>
    <row r="5709" ht="13.5" hidden="1"/>
    <row r="5710" ht="13.5" hidden="1"/>
    <row r="5711" ht="13.5" hidden="1"/>
    <row r="5712" ht="13.5" hidden="1"/>
    <row r="5713" ht="13.5" hidden="1"/>
    <row r="5714" ht="13.5" hidden="1"/>
    <row r="5715" ht="13.5" hidden="1"/>
    <row r="5716" ht="13.5" hidden="1"/>
    <row r="5717" ht="13.5" hidden="1"/>
    <row r="5718" ht="13.5" hidden="1"/>
    <row r="5719" ht="13.5" hidden="1"/>
    <row r="5720" ht="13.5" hidden="1"/>
    <row r="5721" ht="13.5" hidden="1"/>
    <row r="5722" ht="13.5" hidden="1"/>
    <row r="5723" ht="13.5" hidden="1"/>
    <row r="5724" ht="13.5" hidden="1"/>
    <row r="5725" ht="13.5" hidden="1"/>
    <row r="5726" ht="13.5" hidden="1"/>
    <row r="5727" ht="13.5" hidden="1"/>
    <row r="5728" ht="13.5" hidden="1"/>
    <row r="5729" ht="13.5" hidden="1"/>
    <row r="5730" ht="13.5" hidden="1"/>
    <row r="5731" ht="13.5" hidden="1"/>
    <row r="5732" ht="13.5" hidden="1"/>
    <row r="5733" ht="13.5" hidden="1"/>
    <row r="5734" ht="13.5" hidden="1"/>
    <row r="5735" ht="13.5" hidden="1"/>
    <row r="5736" ht="13.5" hidden="1"/>
    <row r="5737" ht="13.5" hidden="1"/>
    <row r="5738" ht="13.5" hidden="1"/>
    <row r="5739" ht="13.5" hidden="1"/>
    <row r="5740" ht="13.5" hidden="1"/>
    <row r="5741" ht="13.5" hidden="1"/>
    <row r="5742" ht="13.5" hidden="1"/>
    <row r="5743" ht="13.5" hidden="1"/>
    <row r="5744" ht="13.5" hidden="1"/>
    <row r="5745" ht="13.5" hidden="1"/>
    <row r="5746" ht="13.5" hidden="1"/>
    <row r="5747" ht="13.5" hidden="1"/>
    <row r="5748" ht="13.5" hidden="1"/>
    <row r="5749" ht="13.5" hidden="1"/>
    <row r="5750" ht="13.5" hidden="1"/>
    <row r="5751" ht="13.5" hidden="1"/>
    <row r="5752" ht="13.5" hidden="1"/>
    <row r="5753" ht="13.5" hidden="1"/>
    <row r="5754" ht="13.5" hidden="1"/>
    <row r="5755" ht="13.5" hidden="1"/>
    <row r="5756" ht="13.5" hidden="1"/>
    <row r="5757" ht="13.5" hidden="1"/>
    <row r="5758" ht="13.5" hidden="1"/>
    <row r="5759" ht="13.5" hidden="1"/>
    <row r="5760" ht="13.5" hidden="1"/>
    <row r="5761" ht="13.5" hidden="1"/>
    <row r="5762" ht="13.5" hidden="1"/>
    <row r="5763" ht="13.5" hidden="1"/>
    <row r="5764" ht="13.5" hidden="1"/>
    <row r="5765" ht="13.5" hidden="1"/>
    <row r="5766" ht="13.5" hidden="1"/>
    <row r="5767" ht="13.5" hidden="1"/>
    <row r="5768" ht="13.5" hidden="1"/>
    <row r="5769" ht="13.5" hidden="1"/>
    <row r="5770" ht="13.5" hidden="1"/>
    <row r="5771" ht="13.5" hidden="1"/>
    <row r="5772" ht="13.5" hidden="1"/>
    <row r="5773" ht="13.5" hidden="1"/>
    <row r="5774" ht="13.5" hidden="1"/>
    <row r="5775" ht="13.5" hidden="1"/>
    <row r="5776" ht="13.5" hidden="1"/>
    <row r="5777" ht="13.5" hidden="1"/>
    <row r="5778" ht="13.5" hidden="1"/>
    <row r="5779" ht="13.5" hidden="1"/>
    <row r="5780" ht="13.5" hidden="1"/>
    <row r="5781" ht="13.5" hidden="1"/>
    <row r="5782" ht="13.5" hidden="1"/>
    <row r="5783" ht="13.5" hidden="1"/>
    <row r="5784" ht="13.5" hidden="1"/>
    <row r="5785" ht="13.5" hidden="1"/>
    <row r="5786" ht="13.5" hidden="1"/>
    <row r="5787" ht="13.5" hidden="1"/>
    <row r="5788" ht="13.5" hidden="1"/>
    <row r="5789" ht="13.5" hidden="1"/>
    <row r="5790" ht="13.5" hidden="1"/>
    <row r="5791" ht="13.5" hidden="1"/>
    <row r="5792" ht="13.5" hidden="1"/>
    <row r="5793" ht="13.5" hidden="1"/>
    <row r="5794" ht="13.5" hidden="1"/>
    <row r="5795" ht="13.5" hidden="1"/>
    <row r="5796" ht="13.5" hidden="1"/>
    <row r="5797" ht="13.5" hidden="1"/>
    <row r="5798" ht="13.5" hidden="1"/>
    <row r="5799" ht="13.5" hidden="1"/>
    <row r="5800" ht="13.5" hidden="1"/>
    <row r="5801" ht="13.5" hidden="1"/>
    <row r="5802" ht="13.5" hidden="1"/>
    <row r="5803" ht="13.5" hidden="1"/>
    <row r="5804" ht="13.5" hidden="1"/>
    <row r="5805" ht="13.5" hidden="1"/>
    <row r="5806" ht="13.5" hidden="1"/>
    <row r="5807" ht="13.5" hidden="1"/>
    <row r="5808" ht="13.5" hidden="1"/>
    <row r="5809" ht="13.5" hidden="1"/>
    <row r="5810" ht="13.5" hidden="1"/>
    <row r="5811" ht="13.5" hidden="1"/>
    <row r="5812" ht="13.5" hidden="1"/>
    <row r="5813" ht="13.5" hidden="1"/>
    <row r="5814" ht="13.5" hidden="1"/>
    <row r="5815" ht="13.5" hidden="1"/>
    <row r="5816" ht="13.5" hidden="1"/>
    <row r="5817" ht="13.5" hidden="1"/>
    <row r="5818" ht="13.5" hidden="1"/>
    <row r="5819" ht="13.5" hidden="1"/>
    <row r="5820" ht="13.5" hidden="1"/>
    <row r="5821" ht="13.5" hidden="1"/>
    <row r="5822" ht="13.5" hidden="1"/>
    <row r="5823" ht="13.5" hidden="1"/>
    <row r="5824" ht="13.5" hidden="1"/>
    <row r="5825" ht="13.5" hidden="1"/>
    <row r="5826" ht="13.5" hidden="1"/>
    <row r="5827" ht="13.5" hidden="1"/>
    <row r="5828" ht="13.5" hidden="1"/>
    <row r="5829" ht="13.5" hidden="1"/>
    <row r="5830" ht="13.5" hidden="1"/>
    <row r="5831" ht="13.5" hidden="1"/>
    <row r="5832" ht="13.5" hidden="1"/>
    <row r="5833" ht="13.5" hidden="1"/>
    <row r="5834" ht="13.5" hidden="1"/>
    <row r="5835" ht="13.5" hidden="1"/>
    <row r="5836" ht="13.5" hidden="1"/>
    <row r="5837" ht="13.5" hidden="1"/>
    <row r="5838" ht="13.5" hidden="1"/>
    <row r="5839" ht="13.5" hidden="1"/>
    <row r="5840" ht="13.5" hidden="1"/>
    <row r="5841" ht="13.5" hidden="1"/>
    <row r="5842" ht="13.5" hidden="1"/>
    <row r="5843" ht="13.5" hidden="1"/>
    <row r="5844" ht="13.5" hidden="1"/>
    <row r="5845" ht="13.5" hidden="1"/>
    <row r="5846" ht="13.5" hidden="1"/>
    <row r="5847" ht="13.5" hidden="1"/>
    <row r="5848" ht="13.5" hidden="1"/>
    <row r="5849" ht="13.5" hidden="1"/>
    <row r="5850" ht="13.5" hidden="1"/>
    <row r="5851" ht="13.5" hidden="1"/>
    <row r="5852" ht="13.5" hidden="1"/>
    <row r="5853" ht="13.5" hidden="1"/>
    <row r="5854" ht="13.5" hidden="1"/>
    <row r="5855" ht="13.5" hidden="1"/>
    <row r="5856" ht="13.5" hidden="1"/>
    <row r="5857" ht="13.5" hidden="1"/>
    <row r="5858" ht="13.5" hidden="1"/>
    <row r="5859" ht="13.5" hidden="1"/>
    <row r="5860" ht="13.5" hidden="1"/>
    <row r="5861" ht="13.5" hidden="1"/>
    <row r="5862" ht="13.5" hidden="1"/>
    <row r="5863" ht="13.5" hidden="1"/>
    <row r="5864" ht="13.5" hidden="1"/>
    <row r="5865" ht="13.5" hidden="1"/>
    <row r="5866" ht="13.5" hidden="1"/>
    <row r="5867" ht="13.5" hidden="1"/>
    <row r="5868" ht="13.5" hidden="1"/>
    <row r="5869" ht="13.5" hidden="1"/>
    <row r="5870" ht="13.5" hidden="1"/>
    <row r="5871" ht="13.5" hidden="1"/>
    <row r="5872" ht="13.5" hidden="1"/>
    <row r="5873" ht="13.5" hidden="1"/>
    <row r="5874" ht="13.5" hidden="1"/>
    <row r="5875" ht="13.5" hidden="1"/>
    <row r="5876" ht="13.5" hidden="1"/>
    <row r="5877" ht="13.5" hidden="1"/>
    <row r="5878" ht="13.5" hidden="1"/>
    <row r="5879" ht="13.5" hidden="1"/>
    <row r="5880" ht="13.5" hidden="1"/>
    <row r="5881" ht="13.5" hidden="1"/>
    <row r="5882" ht="13.5" hidden="1"/>
    <row r="5883" ht="13.5" hidden="1"/>
    <row r="5884" ht="13.5" hidden="1"/>
    <row r="5885" ht="13.5" hidden="1"/>
    <row r="5886" ht="13.5" hidden="1"/>
    <row r="5887" ht="13.5" hidden="1"/>
    <row r="5888" ht="13.5" hidden="1"/>
    <row r="5889" ht="13.5" hidden="1"/>
    <row r="5890" ht="13.5" hidden="1"/>
    <row r="5891" ht="13.5" hidden="1"/>
    <row r="5892" ht="13.5" hidden="1"/>
    <row r="5893" ht="13.5" hidden="1"/>
    <row r="5894" ht="13.5" hidden="1"/>
    <row r="5895" ht="13.5" hidden="1"/>
    <row r="5896" ht="13.5" hidden="1"/>
    <row r="5897" ht="13.5" hidden="1"/>
    <row r="5898" ht="13.5" hidden="1"/>
    <row r="5899" ht="13.5" hidden="1"/>
    <row r="5900" ht="13.5" hidden="1"/>
    <row r="5901" ht="13.5" hidden="1"/>
    <row r="5902" ht="13.5" hidden="1"/>
    <row r="5903" ht="13.5" hidden="1"/>
    <row r="5904" ht="13.5" hidden="1"/>
    <row r="5905" ht="13.5" hidden="1"/>
    <row r="5906" ht="13.5" hidden="1"/>
    <row r="5907" ht="13.5" hidden="1"/>
    <row r="5908" ht="13.5" hidden="1"/>
    <row r="5909" ht="13.5" hidden="1"/>
    <row r="5910" ht="13.5" hidden="1"/>
    <row r="5911" ht="13.5" hidden="1"/>
    <row r="5912" ht="13.5" hidden="1"/>
    <row r="5913" ht="13.5" hidden="1"/>
    <row r="5914" ht="13.5" hidden="1"/>
    <row r="5915" ht="13.5" hidden="1"/>
    <row r="5916" ht="13.5" hidden="1"/>
    <row r="5917" ht="13.5" hidden="1"/>
    <row r="5918" ht="13.5" hidden="1"/>
    <row r="5919" ht="13.5" hidden="1"/>
    <row r="5920" ht="13.5" hidden="1"/>
    <row r="5921" ht="13.5" hidden="1"/>
    <row r="5922" ht="13.5" hidden="1"/>
    <row r="5923" ht="13.5" hidden="1"/>
    <row r="5924" ht="13.5" hidden="1"/>
    <row r="5925" ht="13.5" hidden="1"/>
    <row r="5926" ht="13.5" hidden="1"/>
    <row r="5927" ht="13.5" hidden="1"/>
    <row r="5928" ht="13.5" hidden="1"/>
    <row r="5929" ht="13.5" hidden="1"/>
    <row r="5930" ht="13.5" hidden="1"/>
    <row r="5931" ht="13.5" hidden="1"/>
    <row r="5932" ht="13.5" hidden="1"/>
    <row r="5933" ht="13.5" hidden="1"/>
    <row r="5934" ht="13.5" hidden="1"/>
    <row r="5935" ht="13.5" hidden="1"/>
    <row r="5936" ht="13.5" hidden="1"/>
    <row r="5937" ht="13.5" hidden="1"/>
    <row r="5938" ht="13.5" hidden="1"/>
    <row r="5939" ht="13.5" hidden="1"/>
    <row r="5940" ht="13.5" hidden="1"/>
    <row r="5941" ht="13.5" hidden="1"/>
    <row r="5942" ht="13.5" hidden="1"/>
    <row r="5943" ht="13.5" hidden="1"/>
    <row r="5944" ht="13.5" hidden="1"/>
    <row r="5945" ht="13.5" hidden="1"/>
    <row r="5946" ht="13.5" hidden="1"/>
    <row r="5947" ht="13.5" hidden="1"/>
    <row r="5948" ht="13.5" hidden="1"/>
    <row r="5949" ht="13.5" hidden="1"/>
    <row r="5950" ht="13.5" hidden="1"/>
    <row r="5951" ht="13.5" hidden="1"/>
    <row r="5952" ht="13.5" hidden="1"/>
    <row r="5953" ht="13.5" hidden="1"/>
    <row r="5954" ht="13.5" hidden="1"/>
    <row r="5955" ht="13.5" hidden="1"/>
    <row r="5956" ht="13.5" hidden="1"/>
    <row r="5957" ht="13.5" hidden="1"/>
    <row r="5958" ht="13.5" hidden="1"/>
    <row r="5959" ht="13.5" hidden="1"/>
    <row r="5960" ht="13.5" hidden="1"/>
    <row r="5961" ht="13.5" hidden="1"/>
    <row r="5962" ht="13.5" hidden="1"/>
    <row r="5963" ht="13.5" hidden="1"/>
    <row r="5964" ht="13.5" hidden="1"/>
    <row r="5965" ht="13.5" hidden="1"/>
    <row r="5966" ht="13.5" hidden="1"/>
    <row r="5967" ht="13.5" hidden="1"/>
    <row r="5968" ht="13.5" hidden="1"/>
    <row r="5969" ht="13.5" hidden="1"/>
    <row r="5970" ht="13.5" hidden="1"/>
    <row r="5971" ht="13.5" hidden="1"/>
    <row r="5972" ht="13.5" hidden="1"/>
    <row r="5973" ht="13.5" hidden="1"/>
    <row r="5974" ht="13.5" hidden="1"/>
    <row r="5975" ht="13.5" hidden="1"/>
    <row r="5976" ht="13.5" hidden="1"/>
    <row r="5977" ht="13.5" hidden="1"/>
    <row r="5978" ht="13.5" hidden="1"/>
    <row r="5979" ht="13.5" hidden="1"/>
    <row r="5980" ht="13.5" hidden="1"/>
    <row r="5981" ht="13.5" hidden="1"/>
    <row r="5982" ht="13.5" hidden="1"/>
    <row r="5983" ht="13.5" hidden="1"/>
    <row r="5984" ht="13.5" hidden="1"/>
    <row r="5985" ht="13.5" hidden="1"/>
    <row r="5986" ht="13.5" hidden="1"/>
    <row r="5987" ht="13.5" hidden="1"/>
    <row r="5988" ht="13.5" hidden="1"/>
    <row r="5989" ht="13.5" hidden="1"/>
    <row r="5990" ht="13.5" hidden="1"/>
    <row r="5991" ht="13.5" hidden="1"/>
    <row r="5992" ht="13.5" hidden="1"/>
    <row r="5993" ht="13.5" hidden="1"/>
    <row r="5994" ht="13.5" hidden="1"/>
    <row r="5995" ht="13.5" hidden="1"/>
    <row r="5996" ht="13.5" hidden="1"/>
    <row r="5997" ht="13.5" hidden="1"/>
    <row r="5998" ht="13.5" hidden="1"/>
    <row r="5999" ht="13.5" hidden="1"/>
    <row r="6000" ht="13.5" hidden="1"/>
    <row r="6001" ht="13.5" hidden="1"/>
    <row r="6002" ht="13.5" hidden="1"/>
    <row r="6003" ht="13.5" hidden="1"/>
    <row r="6004" ht="13.5" hidden="1"/>
    <row r="6005" ht="13.5" hidden="1"/>
    <row r="6006" ht="13.5" hidden="1"/>
    <row r="6007" ht="13.5" hidden="1"/>
    <row r="6008" ht="13.5" hidden="1"/>
    <row r="6009" ht="13.5" hidden="1"/>
    <row r="6010" ht="13.5" hidden="1"/>
    <row r="6011" ht="13.5" hidden="1"/>
    <row r="6012" ht="13.5" hidden="1"/>
    <row r="6013" ht="13.5" hidden="1"/>
    <row r="6014" ht="13.5" hidden="1"/>
    <row r="6015" ht="13.5" hidden="1"/>
    <row r="6016" ht="13.5" hidden="1"/>
    <row r="6017" ht="13.5" hidden="1"/>
    <row r="6018" ht="13.5" hidden="1"/>
    <row r="6019" ht="13.5" hidden="1"/>
    <row r="6020" ht="13.5" hidden="1"/>
    <row r="6021" ht="13.5" hidden="1"/>
    <row r="6022" ht="13.5" hidden="1"/>
    <row r="6023" ht="13.5" hidden="1"/>
    <row r="6024" ht="13.5" hidden="1"/>
    <row r="6025" ht="13.5" hidden="1"/>
    <row r="6026" ht="13.5" hidden="1"/>
    <row r="6027" ht="13.5" hidden="1"/>
    <row r="6028" ht="13.5" hidden="1"/>
    <row r="6029" ht="13.5" hidden="1"/>
    <row r="6030" ht="13.5" hidden="1"/>
    <row r="6031" ht="13.5" hidden="1"/>
    <row r="6032" ht="13.5" hidden="1"/>
    <row r="6033" ht="13.5" hidden="1"/>
    <row r="6034" ht="13.5" hidden="1"/>
    <row r="6035" ht="13.5" hidden="1"/>
    <row r="6036" ht="13.5" hidden="1"/>
    <row r="6037" ht="13.5" hidden="1"/>
    <row r="6038" ht="13.5" hidden="1"/>
    <row r="6039" ht="13.5" hidden="1"/>
    <row r="6040" ht="13.5" hidden="1"/>
    <row r="6041" ht="13.5" hidden="1"/>
    <row r="6042" ht="13.5" hidden="1"/>
    <row r="6043" ht="13.5" hidden="1"/>
    <row r="6044" ht="13.5" hidden="1"/>
    <row r="6045" ht="13.5" hidden="1"/>
    <row r="6046" ht="13.5" hidden="1"/>
    <row r="6047" ht="13.5" hidden="1"/>
    <row r="6048" ht="13.5" hidden="1"/>
    <row r="6049" ht="13.5" hidden="1"/>
    <row r="6050" ht="13.5" hidden="1"/>
    <row r="6051" ht="13.5" hidden="1"/>
    <row r="6052" ht="13.5" hidden="1"/>
    <row r="6053" ht="13.5" hidden="1"/>
    <row r="6054" ht="13.5" hidden="1"/>
    <row r="6055" ht="13.5" hidden="1"/>
    <row r="6056" ht="13.5" hidden="1"/>
    <row r="6057" ht="13.5" hidden="1"/>
    <row r="6058" ht="13.5" hidden="1"/>
    <row r="6059" ht="13.5" hidden="1"/>
    <row r="6060" ht="13.5" hidden="1"/>
    <row r="6061" ht="13.5" hidden="1"/>
    <row r="6062" ht="13.5" hidden="1"/>
    <row r="6063" ht="13.5" hidden="1"/>
    <row r="6064" ht="13.5" hidden="1"/>
    <row r="6065" ht="13.5" hidden="1"/>
    <row r="6066" ht="13.5" hidden="1"/>
    <row r="6067" ht="13.5" hidden="1"/>
    <row r="6068" ht="13.5" hidden="1"/>
    <row r="6069" ht="13.5" hidden="1"/>
    <row r="6070" ht="13.5" hidden="1"/>
    <row r="6071" ht="13.5" hidden="1"/>
    <row r="6072" ht="13.5" hidden="1"/>
    <row r="6073" ht="13.5" hidden="1"/>
    <row r="6074" ht="13.5" hidden="1"/>
    <row r="6075" ht="13.5" hidden="1"/>
    <row r="6076" ht="13.5" hidden="1"/>
    <row r="6077" ht="13.5" hidden="1"/>
    <row r="6078" ht="13.5" hidden="1"/>
    <row r="6079" ht="13.5" hidden="1"/>
    <row r="6080" ht="13.5" hidden="1"/>
    <row r="6081" ht="13.5" hidden="1"/>
    <row r="6082" ht="13.5" hidden="1"/>
    <row r="6083" ht="13.5" hidden="1"/>
    <row r="6084" ht="13.5" hidden="1"/>
    <row r="6085" ht="13.5" hidden="1"/>
    <row r="6086" ht="13.5" hidden="1"/>
    <row r="6087" ht="13.5" hidden="1"/>
    <row r="6088" ht="13.5" hidden="1"/>
    <row r="6089" ht="13.5" hidden="1"/>
    <row r="6090" ht="13.5" hidden="1"/>
    <row r="6091" ht="13.5" hidden="1"/>
    <row r="6092" ht="13.5" hidden="1"/>
    <row r="6093" ht="13.5" hidden="1"/>
    <row r="6094" ht="13.5" hidden="1"/>
    <row r="6095" ht="13.5" hidden="1"/>
    <row r="6096" ht="13.5" hidden="1"/>
    <row r="6097" ht="13.5" hidden="1"/>
    <row r="6098" ht="13.5" hidden="1"/>
    <row r="6099" ht="13.5" hidden="1"/>
    <row r="6100" ht="13.5" hidden="1"/>
    <row r="6101" ht="13.5" hidden="1"/>
    <row r="6102" ht="13.5" hidden="1"/>
    <row r="6103" ht="13.5" hidden="1"/>
    <row r="6104" ht="13.5" hidden="1"/>
    <row r="6105" ht="13.5" hidden="1"/>
    <row r="6106" ht="13.5" hidden="1"/>
    <row r="6107" ht="13.5" hidden="1"/>
    <row r="6108" ht="13.5" hidden="1"/>
    <row r="6109" ht="13.5" hidden="1"/>
    <row r="6110" ht="13.5" hidden="1"/>
    <row r="6111" ht="13.5" hidden="1"/>
    <row r="6112" ht="13.5" hidden="1"/>
    <row r="6113" ht="13.5" hidden="1"/>
    <row r="6114" ht="13.5" hidden="1"/>
    <row r="6115" ht="13.5" hidden="1"/>
    <row r="6116" ht="13.5" hidden="1"/>
    <row r="6117" ht="13.5" hidden="1"/>
    <row r="6118" ht="13.5" hidden="1"/>
    <row r="6119" ht="13.5" hidden="1"/>
    <row r="6120" ht="13.5" hidden="1"/>
    <row r="6121" ht="13.5" hidden="1"/>
    <row r="6122" ht="13.5" hidden="1"/>
    <row r="6123" ht="13.5" hidden="1"/>
    <row r="6124" ht="13.5" hidden="1"/>
    <row r="6125" ht="13.5" hidden="1"/>
    <row r="6126" ht="13.5" hidden="1"/>
    <row r="6127" ht="13.5" hidden="1"/>
    <row r="6128" ht="13.5" hidden="1"/>
    <row r="6129" ht="13.5" hidden="1"/>
    <row r="6130" ht="13.5" hidden="1"/>
    <row r="6131" ht="13.5" hidden="1"/>
    <row r="6132" ht="13.5" hidden="1"/>
    <row r="6133" ht="13.5" hidden="1"/>
    <row r="6134" ht="13.5" hidden="1"/>
    <row r="6135" ht="13.5" hidden="1"/>
    <row r="6136" ht="13.5" hidden="1"/>
    <row r="6137" ht="13.5" hidden="1"/>
    <row r="6138" ht="13.5" hidden="1"/>
    <row r="6139" ht="13.5" hidden="1"/>
    <row r="6140" ht="13.5" hidden="1"/>
    <row r="6141" ht="13.5" hidden="1"/>
    <row r="6142" ht="13.5" hidden="1"/>
    <row r="6143" ht="13.5" hidden="1"/>
    <row r="6144" ht="13.5" hidden="1"/>
    <row r="6145" ht="13.5" hidden="1"/>
    <row r="6146" ht="13.5" hidden="1"/>
    <row r="6147" ht="13.5" hidden="1"/>
    <row r="6148" ht="13.5" hidden="1"/>
    <row r="6149" ht="13.5" hidden="1"/>
    <row r="6150" ht="13.5" hidden="1"/>
    <row r="6151" ht="13.5" hidden="1"/>
    <row r="6152" ht="13.5" hidden="1"/>
    <row r="6153" ht="13.5" hidden="1"/>
    <row r="6154" ht="13.5" hidden="1"/>
    <row r="6155" ht="13.5" hidden="1"/>
    <row r="6156" ht="13.5" hidden="1"/>
    <row r="6157" ht="13.5" hidden="1"/>
    <row r="6158" ht="13.5" hidden="1"/>
    <row r="6159" ht="13.5" hidden="1"/>
    <row r="6160" ht="13.5" hidden="1"/>
    <row r="6161" ht="13.5" hidden="1"/>
    <row r="6162" ht="13.5" hidden="1"/>
    <row r="6163" ht="13.5" hidden="1"/>
    <row r="6164" ht="13.5" hidden="1"/>
    <row r="6165" ht="13.5" hidden="1"/>
    <row r="6166" ht="13.5" hidden="1"/>
    <row r="6167" ht="13.5" hidden="1"/>
    <row r="6168" ht="13.5" hidden="1"/>
    <row r="6169" ht="13.5" hidden="1"/>
    <row r="6170" ht="13.5" hidden="1"/>
    <row r="6171" ht="13.5" hidden="1"/>
    <row r="6172" ht="13.5" hidden="1"/>
    <row r="6173" ht="13.5" hidden="1"/>
    <row r="6174" ht="13.5" hidden="1"/>
    <row r="6175" ht="13.5" hidden="1"/>
    <row r="6176" ht="13.5" hidden="1"/>
    <row r="6177" ht="13.5" hidden="1"/>
    <row r="6178" ht="13.5" hidden="1"/>
    <row r="6179" ht="13.5" hidden="1"/>
    <row r="6180" ht="13.5" hidden="1"/>
    <row r="6181" ht="13.5" hidden="1"/>
    <row r="6182" ht="13.5" hidden="1"/>
    <row r="6183" ht="13.5" hidden="1"/>
    <row r="6184" ht="13.5" hidden="1"/>
    <row r="6185" ht="13.5" hidden="1"/>
    <row r="6186" ht="13.5" hidden="1"/>
    <row r="6187" ht="13.5" hidden="1"/>
    <row r="6188" ht="13.5" hidden="1"/>
    <row r="6189" ht="13.5" hidden="1"/>
    <row r="6190" ht="13.5" hidden="1"/>
    <row r="6191" ht="13.5" hidden="1"/>
    <row r="6192" ht="13.5" hidden="1"/>
    <row r="6193" ht="13.5" hidden="1"/>
    <row r="6194" ht="13.5" hidden="1"/>
    <row r="6195" ht="13.5" hidden="1"/>
    <row r="6196" ht="13.5" hidden="1"/>
    <row r="6197" ht="13.5" hidden="1"/>
    <row r="6198" ht="13.5" hidden="1"/>
    <row r="6199" ht="13.5" hidden="1"/>
    <row r="6200" ht="13.5" hidden="1"/>
    <row r="6201" ht="13.5" hidden="1"/>
    <row r="6202" ht="13.5" hidden="1"/>
    <row r="6203" ht="13.5" hidden="1"/>
    <row r="6204" ht="13.5" hidden="1"/>
    <row r="6205" ht="13.5" hidden="1"/>
    <row r="6206" ht="13.5" hidden="1"/>
    <row r="6207" ht="13.5" hidden="1"/>
    <row r="6208" ht="13.5" hidden="1"/>
    <row r="6209" ht="13.5" hidden="1"/>
    <row r="6210" ht="13.5" hidden="1"/>
    <row r="6211" ht="13.5" hidden="1"/>
    <row r="6212" ht="13.5" hidden="1"/>
    <row r="6213" ht="13.5" hidden="1"/>
    <row r="6214" ht="13.5" hidden="1"/>
    <row r="6215" ht="13.5" hidden="1"/>
    <row r="6216" ht="13.5" hidden="1"/>
    <row r="6217" ht="13.5" hidden="1"/>
    <row r="6218" ht="13.5" hidden="1"/>
    <row r="6219" ht="13.5" hidden="1"/>
    <row r="6220" ht="13.5" hidden="1"/>
    <row r="6221" ht="13.5" hidden="1"/>
    <row r="6222" ht="13.5" hidden="1"/>
    <row r="6223" ht="13.5" hidden="1"/>
    <row r="6224" ht="13.5" hidden="1"/>
    <row r="6225" ht="13.5" hidden="1"/>
    <row r="6226" ht="13.5" hidden="1"/>
    <row r="6227" ht="13.5" hidden="1"/>
    <row r="6228" ht="13.5" hidden="1"/>
    <row r="6229" ht="13.5" hidden="1"/>
    <row r="6230" ht="13.5" hidden="1"/>
    <row r="6231" ht="13.5" hidden="1"/>
    <row r="6232" ht="13.5" hidden="1"/>
    <row r="6233" ht="13.5" hidden="1"/>
    <row r="6234" ht="13.5" hidden="1"/>
    <row r="6235" ht="13.5" hidden="1"/>
    <row r="6236" ht="13.5" hidden="1"/>
    <row r="6237" ht="13.5" hidden="1"/>
    <row r="6238" ht="13.5" hidden="1"/>
    <row r="6239" ht="13.5" hidden="1"/>
    <row r="6240" ht="13.5" hidden="1"/>
    <row r="6241" ht="13.5" hidden="1"/>
    <row r="6242" ht="13.5" hidden="1"/>
    <row r="6243" ht="13.5" hidden="1"/>
    <row r="6244" ht="13.5" hidden="1"/>
    <row r="6245" ht="13.5" hidden="1"/>
    <row r="6246" ht="13.5" hidden="1"/>
    <row r="6247" ht="13.5" hidden="1"/>
    <row r="6248" ht="13.5" hidden="1"/>
    <row r="6249" ht="13.5" hidden="1"/>
    <row r="6250" ht="13.5" hidden="1"/>
    <row r="6251" ht="13.5" hidden="1"/>
    <row r="6252" ht="13.5" hidden="1"/>
    <row r="6253" ht="13.5" hidden="1"/>
    <row r="6254" ht="13.5" hidden="1"/>
    <row r="6255" ht="13.5" hidden="1"/>
    <row r="6256" ht="13.5" hidden="1"/>
    <row r="6257" ht="13.5" hidden="1"/>
    <row r="6258" ht="13.5" hidden="1"/>
    <row r="6259" ht="13.5" hidden="1"/>
    <row r="6260" ht="13.5" hidden="1"/>
    <row r="6261" ht="13.5" hidden="1"/>
    <row r="6262" ht="13.5" hidden="1"/>
    <row r="6263" ht="13.5" hidden="1"/>
    <row r="6264" ht="13.5" hidden="1"/>
    <row r="6265" ht="13.5" hidden="1"/>
    <row r="6266" ht="13.5" hidden="1"/>
    <row r="6267" ht="13.5" hidden="1"/>
    <row r="6268" ht="13.5" hidden="1"/>
    <row r="6269" ht="13.5" hidden="1"/>
    <row r="6270" ht="13.5" hidden="1"/>
    <row r="6271" ht="13.5" hidden="1"/>
    <row r="6272" ht="13.5" hidden="1"/>
    <row r="6273" ht="13.5" hidden="1"/>
    <row r="6274" ht="13.5" hidden="1"/>
    <row r="6275" ht="13.5" hidden="1"/>
    <row r="6276" ht="13.5" hidden="1"/>
    <row r="6277" ht="13.5" hidden="1"/>
    <row r="6278" ht="13.5" hidden="1"/>
    <row r="6279" ht="13.5" hidden="1"/>
    <row r="6280" ht="13.5" hidden="1"/>
    <row r="6281" ht="13.5" hidden="1"/>
    <row r="6282" ht="13.5" hidden="1"/>
    <row r="6283" ht="13.5" hidden="1"/>
    <row r="6284" ht="13.5" hidden="1"/>
    <row r="6285" ht="13.5" hidden="1"/>
    <row r="6286" ht="13.5" hidden="1"/>
    <row r="6287" ht="13.5" hidden="1"/>
    <row r="6288" ht="13.5" hidden="1"/>
    <row r="6289" ht="13.5" hidden="1"/>
    <row r="6290" ht="13.5" hidden="1"/>
    <row r="6291" ht="13.5" hidden="1"/>
    <row r="6292" ht="13.5" hidden="1"/>
    <row r="6293" ht="13.5" hidden="1"/>
    <row r="6294" ht="13.5" hidden="1"/>
    <row r="6295" ht="13.5" hidden="1"/>
    <row r="6296" ht="13.5" hidden="1"/>
    <row r="6297" ht="13.5" hidden="1"/>
    <row r="6298" ht="13.5" hidden="1"/>
    <row r="6299" ht="13.5" hidden="1"/>
    <row r="6300" ht="13.5" hidden="1"/>
    <row r="6301" ht="13.5" hidden="1"/>
    <row r="6302" ht="13.5" hidden="1"/>
    <row r="6303" ht="13.5" hidden="1"/>
    <row r="6304" ht="13.5" hidden="1"/>
    <row r="6305" ht="13.5" hidden="1"/>
    <row r="6306" ht="13.5" hidden="1"/>
    <row r="6307" ht="13.5" hidden="1"/>
    <row r="6308" ht="13.5" hidden="1"/>
    <row r="6309" ht="13.5" hidden="1"/>
    <row r="6310" ht="13.5" hidden="1"/>
    <row r="6311" ht="13.5" hidden="1"/>
    <row r="6312" ht="13.5" hidden="1"/>
    <row r="6313" ht="13.5" hidden="1"/>
    <row r="6314" ht="13.5" hidden="1"/>
    <row r="6315" ht="13.5" hidden="1"/>
    <row r="6316" ht="13.5" hidden="1"/>
    <row r="6317" ht="13.5" hidden="1"/>
    <row r="6318" ht="13.5" hidden="1"/>
    <row r="6319" ht="13.5" hidden="1"/>
    <row r="6320" ht="13.5" hidden="1"/>
    <row r="6321" ht="13.5" hidden="1"/>
    <row r="6322" ht="13.5" hidden="1"/>
    <row r="6323" ht="13.5" hidden="1"/>
    <row r="6324" ht="13.5" hidden="1"/>
    <row r="6325" ht="13.5" hidden="1"/>
    <row r="6326" ht="13.5" hidden="1"/>
    <row r="6327" ht="13.5" hidden="1"/>
    <row r="6328" ht="13.5" hidden="1"/>
    <row r="6329" ht="13.5" hidden="1"/>
    <row r="6330" ht="13.5" hidden="1"/>
    <row r="6331" ht="13.5" hidden="1"/>
    <row r="6332" ht="13.5" hidden="1"/>
    <row r="6333" ht="13.5" hidden="1"/>
    <row r="6334" ht="13.5" hidden="1"/>
    <row r="6335" ht="13.5" hidden="1"/>
    <row r="6336" ht="13.5" hidden="1"/>
    <row r="6337" ht="13.5" hidden="1"/>
    <row r="6338" ht="13.5" hidden="1"/>
    <row r="6339" ht="13.5" hidden="1"/>
    <row r="6340" ht="13.5" hidden="1"/>
    <row r="6341" ht="13.5" hidden="1"/>
    <row r="6342" ht="13.5" hidden="1"/>
    <row r="6343" ht="13.5" hidden="1"/>
    <row r="6344" ht="13.5" hidden="1"/>
    <row r="6345" ht="13.5" hidden="1"/>
    <row r="6346" ht="13.5" hidden="1"/>
    <row r="6347" ht="13.5" hidden="1"/>
    <row r="6348" ht="13.5" hidden="1"/>
    <row r="6349" ht="13.5" hidden="1"/>
    <row r="6350" ht="13.5" hidden="1"/>
    <row r="6351" ht="13.5" hidden="1"/>
    <row r="6352" ht="13.5" hidden="1"/>
    <row r="6353" ht="13.5" hidden="1"/>
    <row r="6354" ht="13.5" hidden="1"/>
    <row r="6355" ht="13.5" hidden="1"/>
    <row r="6356" ht="13.5" hidden="1"/>
    <row r="6357" ht="13.5" hidden="1"/>
    <row r="6358" ht="13.5" hidden="1"/>
    <row r="6359" ht="13.5" hidden="1"/>
    <row r="6360" ht="13.5" hidden="1"/>
    <row r="6361" ht="13.5" hidden="1"/>
    <row r="6362" ht="13.5" hidden="1"/>
    <row r="6363" ht="13.5" hidden="1"/>
    <row r="6364" ht="13.5" hidden="1"/>
    <row r="6365" ht="13.5" hidden="1"/>
    <row r="6366" ht="13.5" hidden="1"/>
    <row r="6367" ht="13.5" hidden="1"/>
    <row r="6368" ht="13.5" hidden="1"/>
    <row r="6369" ht="13.5" hidden="1"/>
    <row r="6370" ht="13.5" hidden="1"/>
    <row r="6371" ht="13.5" hidden="1"/>
    <row r="6372" ht="13.5" hidden="1"/>
    <row r="6373" ht="13.5" hidden="1"/>
    <row r="6374" ht="13.5" hidden="1"/>
    <row r="6375" ht="13.5" hidden="1"/>
    <row r="6376" ht="13.5" hidden="1"/>
    <row r="6377" ht="13.5" hidden="1"/>
    <row r="6378" ht="13.5" hidden="1"/>
    <row r="6379" ht="13.5" hidden="1"/>
    <row r="6380" ht="13.5" hidden="1"/>
    <row r="6381" ht="13.5" hidden="1"/>
    <row r="6382" ht="13.5" hidden="1"/>
    <row r="6383" ht="13.5" hidden="1"/>
    <row r="6384" ht="13.5" hidden="1"/>
    <row r="6385" ht="13.5" hidden="1"/>
    <row r="6386" ht="13.5" hidden="1"/>
    <row r="6387" ht="13.5" hidden="1"/>
    <row r="6388" ht="13.5" hidden="1"/>
    <row r="6389" ht="13.5" hidden="1"/>
    <row r="6390" ht="13.5" hidden="1"/>
    <row r="6391" ht="13.5" hidden="1"/>
    <row r="6392" ht="13.5" hidden="1"/>
    <row r="6393" ht="13.5" hidden="1"/>
    <row r="6394" ht="13.5" hidden="1"/>
    <row r="6395" ht="13.5" hidden="1"/>
    <row r="6396" ht="13.5" hidden="1"/>
    <row r="6397" ht="13.5" hidden="1"/>
    <row r="6398" ht="13.5" hidden="1"/>
    <row r="6399" ht="13.5" hidden="1"/>
    <row r="6400" ht="13.5" hidden="1"/>
    <row r="6401" ht="13.5" hidden="1"/>
    <row r="6402" ht="13.5" hidden="1"/>
    <row r="6403" ht="13.5" hidden="1"/>
    <row r="6404" ht="13.5" hidden="1"/>
    <row r="6405" ht="13.5" hidden="1"/>
    <row r="6406" ht="13.5" hidden="1"/>
    <row r="6407" ht="13.5" hidden="1"/>
    <row r="6408" ht="13.5" hidden="1"/>
    <row r="6409" ht="13.5" hidden="1"/>
    <row r="6410" ht="13.5" hidden="1"/>
    <row r="6411" ht="13.5" hidden="1"/>
    <row r="6412" ht="13.5" hidden="1"/>
    <row r="6413" ht="13.5" hidden="1"/>
    <row r="6414" ht="13.5" hidden="1"/>
    <row r="6415" ht="13.5" hidden="1"/>
    <row r="6416" ht="13.5" hidden="1"/>
    <row r="6417" ht="13.5" hidden="1"/>
    <row r="6418" ht="13.5" hidden="1"/>
    <row r="6419" ht="13.5" hidden="1"/>
    <row r="6420" ht="13.5" hidden="1"/>
    <row r="6421" ht="13.5" hidden="1"/>
    <row r="6422" ht="13.5" hidden="1"/>
    <row r="6423" ht="13.5" hidden="1"/>
    <row r="6424" ht="13.5" hidden="1"/>
    <row r="6425" ht="13.5" hidden="1"/>
    <row r="6426" ht="13.5" hidden="1"/>
    <row r="6427" ht="13.5" hidden="1"/>
    <row r="6428" ht="13.5" hidden="1"/>
    <row r="6429" ht="13.5" hidden="1"/>
    <row r="6430" ht="13.5" hidden="1"/>
    <row r="6431" ht="13.5" hidden="1"/>
    <row r="6432" ht="13.5" hidden="1"/>
    <row r="6433" ht="13.5" hidden="1"/>
    <row r="6434" ht="13.5" hidden="1"/>
    <row r="6435" ht="13.5" hidden="1"/>
    <row r="6436" ht="13.5" hidden="1"/>
    <row r="6437" ht="13.5" hidden="1"/>
    <row r="6438" ht="13.5" hidden="1"/>
    <row r="6439" ht="13.5" hidden="1"/>
    <row r="6440" ht="13.5" hidden="1"/>
    <row r="6441" ht="13.5" hidden="1"/>
    <row r="6442" ht="13.5" hidden="1"/>
    <row r="6443" ht="13.5" hidden="1"/>
    <row r="6444" ht="13.5" hidden="1"/>
    <row r="6445" ht="13.5" hidden="1"/>
    <row r="6446" ht="13.5" hidden="1"/>
    <row r="6447" ht="13.5" hidden="1"/>
    <row r="6448" ht="13.5" hidden="1"/>
    <row r="6449" ht="13.5" hidden="1"/>
    <row r="6450" ht="13.5" hidden="1"/>
    <row r="6451" ht="13.5" hidden="1"/>
    <row r="6452" ht="13.5" hidden="1"/>
    <row r="6453" ht="13.5" hidden="1"/>
    <row r="6454" ht="13.5" hidden="1"/>
    <row r="6455" ht="13.5" hidden="1"/>
    <row r="6456" ht="13.5" hidden="1"/>
    <row r="6457" ht="13.5" hidden="1"/>
    <row r="6458" ht="13.5" hidden="1"/>
    <row r="6459" ht="13.5" hidden="1"/>
    <row r="6460" ht="13.5" hidden="1"/>
    <row r="6461" ht="13.5" hidden="1"/>
    <row r="6462" ht="13.5" hidden="1"/>
    <row r="6463" ht="13.5" hidden="1"/>
    <row r="6464" ht="13.5" hidden="1"/>
    <row r="6465" ht="13.5" hidden="1"/>
    <row r="6466" ht="13.5" hidden="1"/>
    <row r="6467" ht="13.5" hidden="1"/>
    <row r="6468" ht="13.5" hidden="1"/>
    <row r="6469" ht="13.5" hidden="1"/>
    <row r="6470" ht="13.5" hidden="1"/>
    <row r="6471" ht="13.5" hidden="1"/>
    <row r="6472" ht="13.5" hidden="1"/>
    <row r="6473" ht="13.5" hidden="1"/>
    <row r="6474" ht="13.5" hidden="1"/>
    <row r="6475" ht="13.5" hidden="1"/>
    <row r="6476" ht="13.5" hidden="1"/>
    <row r="6477" ht="13.5" hidden="1"/>
    <row r="6478" ht="13.5" hidden="1"/>
    <row r="6479" ht="13.5" hidden="1"/>
    <row r="6480" ht="13.5" hidden="1"/>
    <row r="6481" ht="13.5" hidden="1"/>
    <row r="6482" ht="13.5" hidden="1"/>
    <row r="6483" ht="13.5" hidden="1"/>
    <row r="6484" ht="13.5" hidden="1"/>
    <row r="6485" ht="13.5" hidden="1"/>
    <row r="6486" ht="13.5" hidden="1"/>
    <row r="6487" ht="13.5" hidden="1"/>
    <row r="6488" ht="13.5" hidden="1"/>
    <row r="6489" ht="13.5" hidden="1"/>
    <row r="6490" ht="13.5" hidden="1"/>
    <row r="6491" ht="13.5" hidden="1"/>
    <row r="6492" ht="13.5" hidden="1"/>
    <row r="6493" ht="13.5" hidden="1"/>
    <row r="6494" ht="13.5" hidden="1"/>
    <row r="6495" ht="13.5" hidden="1"/>
    <row r="6496" ht="13.5" hidden="1"/>
    <row r="6497" ht="13.5" hidden="1"/>
    <row r="6498" ht="13.5" hidden="1"/>
    <row r="6499" ht="13.5" hidden="1"/>
    <row r="6500" ht="13.5" hidden="1"/>
    <row r="6501" ht="13.5" hidden="1"/>
    <row r="6502" ht="13.5" hidden="1"/>
    <row r="6503" ht="13.5" hidden="1"/>
    <row r="6504" ht="13.5" hidden="1"/>
    <row r="6505" ht="13.5" hidden="1"/>
    <row r="6506" ht="13.5" hidden="1"/>
    <row r="6507" ht="13.5" hidden="1"/>
    <row r="6508" ht="13.5" hidden="1"/>
    <row r="6509" ht="13.5" hidden="1"/>
    <row r="6510" ht="13.5" hidden="1"/>
    <row r="6511" ht="13.5" hidden="1"/>
    <row r="6512" ht="13.5" hidden="1"/>
    <row r="6513" ht="13.5" hidden="1"/>
    <row r="6514" ht="13.5" hidden="1"/>
    <row r="6515" ht="13.5" hidden="1"/>
    <row r="6516" ht="13.5" hidden="1"/>
    <row r="6517" ht="13.5" hidden="1"/>
    <row r="6518" ht="13.5" hidden="1"/>
    <row r="6519" ht="13.5" hidden="1"/>
    <row r="6520" ht="13.5" hidden="1"/>
    <row r="6521" ht="13.5" hidden="1"/>
    <row r="6522" ht="13.5" hidden="1"/>
    <row r="6523" ht="13.5" hidden="1"/>
    <row r="6524" ht="13.5" hidden="1"/>
    <row r="6525" ht="13.5" hidden="1"/>
    <row r="6526" ht="13.5" hidden="1"/>
    <row r="6527" ht="13.5" hidden="1"/>
    <row r="6528" ht="13.5" hidden="1"/>
    <row r="6529" ht="13.5" hidden="1"/>
    <row r="6530" ht="13.5" hidden="1"/>
    <row r="6531" ht="13.5" hidden="1"/>
    <row r="6532" ht="13.5" hidden="1"/>
    <row r="6533" ht="13.5" hidden="1"/>
    <row r="6534" ht="13.5" hidden="1"/>
    <row r="6535" ht="13.5" hidden="1"/>
    <row r="6536" ht="13.5" hidden="1"/>
    <row r="6537" ht="13.5" hidden="1"/>
    <row r="6538" ht="13.5" hidden="1"/>
    <row r="6539" ht="13.5" hidden="1"/>
    <row r="6540" ht="13.5" hidden="1"/>
    <row r="6541" ht="13.5" hidden="1"/>
    <row r="6542" ht="13.5" hidden="1"/>
    <row r="6543" ht="13.5" hidden="1"/>
    <row r="6544" ht="13.5" hidden="1"/>
    <row r="6545" ht="13.5" hidden="1"/>
    <row r="6546" ht="13.5" hidden="1"/>
    <row r="6547" ht="13.5" hidden="1"/>
    <row r="6548" ht="13.5" hidden="1"/>
    <row r="6549" ht="13.5" hidden="1"/>
    <row r="6550" ht="13.5" hidden="1"/>
    <row r="6551" ht="13.5" hidden="1"/>
    <row r="6552" ht="13.5" hidden="1"/>
    <row r="6553" ht="13.5" hidden="1"/>
    <row r="6554" ht="13.5" hidden="1"/>
    <row r="6555" ht="13.5" hidden="1"/>
    <row r="6556" ht="13.5" hidden="1"/>
    <row r="6557" ht="13.5" hidden="1"/>
    <row r="6558" ht="13.5" hidden="1"/>
    <row r="6559" ht="13.5" hidden="1"/>
    <row r="6560" ht="13.5" hidden="1"/>
    <row r="6561" ht="13.5" hidden="1"/>
    <row r="6562" ht="13.5" hidden="1"/>
    <row r="6563" ht="13.5" hidden="1"/>
    <row r="6564" ht="13.5" hidden="1"/>
    <row r="6565" ht="13.5" hidden="1"/>
    <row r="6566" ht="13.5" hidden="1"/>
    <row r="6567" ht="13.5" hidden="1"/>
    <row r="6568" ht="13.5" hidden="1"/>
    <row r="6569" ht="13.5" hidden="1"/>
    <row r="6570" ht="13.5" hidden="1"/>
    <row r="6571" ht="13.5" hidden="1"/>
    <row r="6572" ht="13.5" hidden="1"/>
    <row r="6573" ht="13.5" hidden="1"/>
    <row r="6574" ht="13.5" hidden="1"/>
    <row r="6575" ht="13.5" hidden="1"/>
    <row r="6576" ht="13.5" hidden="1"/>
    <row r="6577" ht="13.5" hidden="1"/>
    <row r="6578" ht="13.5" hidden="1"/>
    <row r="6579" ht="13.5" hidden="1"/>
    <row r="6580" ht="13.5" hidden="1"/>
    <row r="6581" ht="13.5" hidden="1"/>
    <row r="6582" ht="13.5" hidden="1"/>
    <row r="6583" ht="13.5" hidden="1"/>
    <row r="6584" ht="13.5" hidden="1"/>
    <row r="6585" ht="13.5" hidden="1"/>
    <row r="6586" ht="13.5" hidden="1"/>
    <row r="6587" ht="13.5" hidden="1"/>
    <row r="6588" ht="13.5" hidden="1"/>
    <row r="6589" ht="13.5" hidden="1"/>
    <row r="6590" ht="13.5" hidden="1"/>
    <row r="6591" ht="13.5" hidden="1"/>
    <row r="6592" ht="13.5" hidden="1"/>
    <row r="6593" ht="13.5" hidden="1"/>
    <row r="6594" ht="13.5" hidden="1"/>
    <row r="6595" ht="13.5" hidden="1"/>
    <row r="6596" ht="13.5" hidden="1"/>
    <row r="6597" ht="13.5" hidden="1"/>
    <row r="6598" ht="13.5" hidden="1"/>
    <row r="6599" ht="13.5" hidden="1"/>
    <row r="6600" ht="13.5" hidden="1"/>
    <row r="6601" ht="13.5" hidden="1"/>
    <row r="6602" ht="13.5" hidden="1"/>
    <row r="6603" ht="13.5" hidden="1"/>
    <row r="6604" ht="13.5" hidden="1"/>
    <row r="6605" ht="13.5" hidden="1"/>
    <row r="6606" ht="13.5" hidden="1"/>
    <row r="6607" ht="13.5" hidden="1"/>
    <row r="6608" ht="13.5" hidden="1"/>
    <row r="6609" ht="13.5" hidden="1"/>
    <row r="6610" ht="13.5" hidden="1"/>
    <row r="6611" ht="13.5" hidden="1"/>
    <row r="6612" ht="13.5" hidden="1"/>
    <row r="6613" ht="13.5" hidden="1"/>
    <row r="6614" ht="13.5" hidden="1"/>
    <row r="6615" ht="13.5" hidden="1"/>
    <row r="6616" ht="13.5" hidden="1"/>
    <row r="6617" ht="13.5" hidden="1"/>
    <row r="6618" ht="13.5" hidden="1"/>
    <row r="6619" ht="13.5" hidden="1"/>
    <row r="6620" ht="13.5" hidden="1"/>
    <row r="6621" ht="13.5" hidden="1"/>
    <row r="6622" ht="13.5" hidden="1"/>
    <row r="6623" ht="13.5" hidden="1"/>
    <row r="6624" ht="13.5" hidden="1"/>
    <row r="6625" ht="13.5" hidden="1"/>
    <row r="6626" ht="13.5" hidden="1"/>
    <row r="6627" ht="13.5" hidden="1"/>
    <row r="6628" ht="13.5" hidden="1"/>
    <row r="6629" ht="13.5" hidden="1"/>
    <row r="6630" ht="13.5" hidden="1"/>
    <row r="6631" ht="13.5" hidden="1"/>
    <row r="6632" ht="13.5" hidden="1"/>
    <row r="6633" ht="13.5" hidden="1"/>
    <row r="6634" ht="13.5" hidden="1"/>
    <row r="6635" ht="13.5" hidden="1"/>
    <row r="6636" ht="13.5" hidden="1"/>
    <row r="6637" ht="13.5" hidden="1"/>
    <row r="6638" ht="13.5" hidden="1"/>
    <row r="6639" ht="13.5" hidden="1"/>
    <row r="6640" ht="13.5" hidden="1"/>
    <row r="6641" ht="13.5" hidden="1"/>
    <row r="6642" ht="13.5" hidden="1"/>
    <row r="6643" ht="13.5" hidden="1"/>
    <row r="6644" ht="13.5" hidden="1"/>
    <row r="6645" ht="13.5" hidden="1"/>
    <row r="6646" ht="13.5" hidden="1"/>
    <row r="6647" ht="13.5" hidden="1"/>
    <row r="6648" ht="13.5" hidden="1"/>
    <row r="6649" ht="13.5" hidden="1"/>
    <row r="6650" ht="13.5" hidden="1"/>
    <row r="6651" ht="13.5" hidden="1"/>
    <row r="6652" ht="13.5" hidden="1"/>
    <row r="6653" ht="13.5" hidden="1"/>
    <row r="6654" ht="13.5" hidden="1"/>
    <row r="6655" ht="13.5" hidden="1"/>
    <row r="6656" ht="13.5" hidden="1"/>
    <row r="6657" ht="13.5" hidden="1"/>
    <row r="6658" ht="13.5" hidden="1"/>
    <row r="6659" ht="13.5" hidden="1"/>
    <row r="6660" ht="13.5" hidden="1"/>
    <row r="6661" ht="13.5" hidden="1"/>
    <row r="6662" ht="13.5" hidden="1"/>
    <row r="6663" ht="13.5" hidden="1"/>
    <row r="6664" ht="13.5" hidden="1"/>
    <row r="6665" ht="13.5" hidden="1"/>
    <row r="6666" ht="13.5" hidden="1"/>
    <row r="6667" ht="13.5" hidden="1"/>
    <row r="6668" ht="13.5" hidden="1"/>
    <row r="6669" ht="13.5" hidden="1"/>
    <row r="6670" ht="13.5" hidden="1"/>
    <row r="6671" ht="13.5" hidden="1"/>
    <row r="6672" ht="13.5" hidden="1"/>
    <row r="6673" ht="13.5" hidden="1"/>
    <row r="6674" ht="13.5" hidden="1"/>
    <row r="6675" ht="13.5" hidden="1"/>
    <row r="6676" ht="13.5" hidden="1"/>
    <row r="6677" ht="13.5" hidden="1"/>
    <row r="6678" ht="13.5" hidden="1"/>
    <row r="6679" ht="13.5" hidden="1"/>
    <row r="6680" ht="13.5" hidden="1"/>
    <row r="6681" ht="13.5" hidden="1"/>
    <row r="6682" ht="13.5" hidden="1"/>
    <row r="6683" ht="13.5" hidden="1"/>
    <row r="6684" ht="13.5" hidden="1"/>
    <row r="6685" ht="13.5" hidden="1"/>
    <row r="6686" ht="13.5" hidden="1"/>
    <row r="6687" ht="13.5" hidden="1"/>
    <row r="6688" ht="13.5" hidden="1"/>
    <row r="6689" ht="13.5" hidden="1"/>
    <row r="6690" ht="13.5" hidden="1"/>
    <row r="6691" ht="13.5" hidden="1"/>
    <row r="6692" ht="13.5" hidden="1"/>
    <row r="6693" ht="13.5" hidden="1"/>
    <row r="6694" ht="13.5" hidden="1"/>
    <row r="6695" ht="13.5" hidden="1"/>
    <row r="6696" ht="13.5" hidden="1"/>
    <row r="6697" ht="13.5" hidden="1"/>
    <row r="6698" ht="13.5" hidden="1"/>
    <row r="6699" ht="13.5" hidden="1"/>
    <row r="6700" ht="13.5" hidden="1"/>
    <row r="6701" ht="13.5" hidden="1"/>
    <row r="6702" ht="13.5" hidden="1"/>
    <row r="6703" ht="13.5" hidden="1"/>
    <row r="6704" ht="13.5" hidden="1"/>
    <row r="6705" ht="13.5" hidden="1"/>
    <row r="6706" ht="13.5" hidden="1"/>
    <row r="6707" ht="13.5" hidden="1"/>
    <row r="6708" ht="13.5" hidden="1"/>
    <row r="6709" ht="13.5" hidden="1"/>
    <row r="6710" ht="13.5" hidden="1"/>
    <row r="6711" ht="13.5" hidden="1"/>
    <row r="6712" ht="13.5" hidden="1"/>
    <row r="6713" ht="13.5" hidden="1"/>
    <row r="6714" ht="13.5" hidden="1"/>
    <row r="6715" ht="13.5" hidden="1"/>
    <row r="6716" ht="13.5" hidden="1"/>
    <row r="6717" ht="13.5" hidden="1"/>
    <row r="6718" ht="13.5" hidden="1"/>
    <row r="6719" ht="13.5" hidden="1"/>
    <row r="6720" ht="13.5" hidden="1"/>
    <row r="6721" ht="13.5" hidden="1"/>
    <row r="6722" ht="13.5" hidden="1"/>
    <row r="6723" ht="13.5" hidden="1"/>
    <row r="6724" ht="13.5" hidden="1"/>
    <row r="6725" ht="13.5" hidden="1"/>
    <row r="6726" ht="13.5" hidden="1"/>
    <row r="6727" ht="13.5" hidden="1"/>
    <row r="6728" ht="13.5" hidden="1"/>
    <row r="6729" ht="13.5" hidden="1"/>
    <row r="6730" ht="13.5" hidden="1"/>
    <row r="6731" ht="13.5" hidden="1"/>
    <row r="6732" ht="13.5" hidden="1"/>
    <row r="6733" ht="13.5" hidden="1"/>
    <row r="6734" ht="13.5" hidden="1"/>
    <row r="6735" ht="13.5" hidden="1"/>
    <row r="6736" ht="13.5" hidden="1"/>
    <row r="6737" ht="13.5" hidden="1"/>
    <row r="6738" ht="13.5" hidden="1"/>
    <row r="6739" ht="13.5" hidden="1"/>
    <row r="6740" ht="13.5" hidden="1"/>
    <row r="6741" ht="13.5" hidden="1"/>
    <row r="6742" ht="13.5" hidden="1"/>
    <row r="6743" ht="13.5" hidden="1"/>
    <row r="6744" ht="13.5" hidden="1"/>
    <row r="6745" ht="13.5" hidden="1"/>
    <row r="6746" ht="13.5" hidden="1"/>
    <row r="6747" ht="13.5" hidden="1"/>
    <row r="6748" ht="13.5" hidden="1"/>
    <row r="6749" ht="13.5" hidden="1"/>
    <row r="6750" ht="13.5" hidden="1"/>
    <row r="6751" ht="13.5" hidden="1"/>
    <row r="6752" ht="13.5" hidden="1"/>
    <row r="6753" ht="13.5" hidden="1"/>
    <row r="6754" ht="13.5" hidden="1"/>
    <row r="6755" ht="13.5" hidden="1"/>
    <row r="6756" ht="13.5" hidden="1"/>
    <row r="6757" ht="13.5" hidden="1"/>
    <row r="6758" ht="13.5" hidden="1"/>
    <row r="6759" ht="13.5" hidden="1"/>
    <row r="6760" ht="13.5" hidden="1"/>
    <row r="6761" ht="13.5" hidden="1"/>
    <row r="6762" ht="13.5" hidden="1"/>
    <row r="6763" ht="13.5" hidden="1"/>
    <row r="6764" ht="13.5" hidden="1"/>
    <row r="6765" ht="13.5" hidden="1"/>
    <row r="6766" ht="13.5" hidden="1"/>
    <row r="6767" ht="13.5" hidden="1"/>
    <row r="6768" ht="13.5" hidden="1"/>
    <row r="6769" ht="13.5" hidden="1"/>
    <row r="6770" ht="13.5" hidden="1"/>
    <row r="6771" ht="13.5" hidden="1"/>
    <row r="6772" ht="13.5" hidden="1"/>
    <row r="6773" ht="13.5" hidden="1"/>
    <row r="6774" ht="13.5" hidden="1"/>
    <row r="6775" ht="13.5" hidden="1"/>
    <row r="6776" ht="13.5" hidden="1"/>
    <row r="6777" ht="13.5" hidden="1"/>
    <row r="6778" ht="13.5" hidden="1"/>
    <row r="6779" ht="13.5" hidden="1"/>
    <row r="6780" ht="13.5" hidden="1"/>
    <row r="6781" ht="13.5" hidden="1"/>
    <row r="6782" ht="13.5" hidden="1"/>
    <row r="6783" ht="13.5" hidden="1"/>
    <row r="6784" ht="13.5" hidden="1"/>
    <row r="6785" ht="13.5" hidden="1"/>
    <row r="6786" ht="13.5" hidden="1"/>
    <row r="6787" ht="13.5" hidden="1"/>
    <row r="6788" ht="13.5" hidden="1"/>
    <row r="6789" ht="13.5" hidden="1"/>
    <row r="6790" ht="13.5" hidden="1"/>
    <row r="6791" ht="13.5" hidden="1"/>
    <row r="6792" ht="13.5" hidden="1"/>
    <row r="6793" ht="13.5" hidden="1"/>
    <row r="6794" ht="13.5" hidden="1"/>
    <row r="6795" ht="13.5" hidden="1"/>
    <row r="6796" ht="13.5" hidden="1"/>
    <row r="6797" ht="13.5" hidden="1"/>
    <row r="6798" ht="13.5" hidden="1"/>
    <row r="6799" ht="13.5" hidden="1"/>
    <row r="6800" ht="13.5" hidden="1"/>
    <row r="6801" ht="13.5" hidden="1"/>
    <row r="6802" ht="13.5" hidden="1"/>
    <row r="6803" ht="13.5" hidden="1"/>
    <row r="6804" ht="13.5" hidden="1"/>
    <row r="6805" ht="13.5" hidden="1"/>
    <row r="6806" ht="13.5" hidden="1"/>
    <row r="6807" ht="13.5" hidden="1"/>
    <row r="6808" ht="13.5" hidden="1"/>
    <row r="6809" ht="13.5" hidden="1"/>
    <row r="6810" ht="13.5" hidden="1"/>
    <row r="6811" ht="13.5" hidden="1"/>
    <row r="6812" ht="13.5" hidden="1"/>
    <row r="6813" ht="13.5" hidden="1"/>
    <row r="6814" ht="13.5" hidden="1"/>
    <row r="6815" ht="13.5" hidden="1"/>
    <row r="6816" ht="13.5" hidden="1"/>
    <row r="6817" ht="13.5" hidden="1"/>
    <row r="6818" ht="13.5" hidden="1"/>
    <row r="6819" ht="13.5" hidden="1"/>
    <row r="6820" ht="13.5" hidden="1"/>
    <row r="6821" ht="13.5" hidden="1"/>
    <row r="6822" ht="13.5" hidden="1"/>
    <row r="6823" ht="13.5" hidden="1"/>
    <row r="6824" ht="13.5" hidden="1"/>
    <row r="6825" ht="13.5" hidden="1"/>
    <row r="6826" ht="13.5" hidden="1"/>
    <row r="6827" ht="13.5" hidden="1"/>
    <row r="6828" ht="13.5" hidden="1"/>
    <row r="6829" ht="13.5" hidden="1"/>
    <row r="6830" ht="13.5" hidden="1"/>
    <row r="6831" ht="13.5" hidden="1"/>
    <row r="6832" ht="13.5" hidden="1"/>
    <row r="6833" ht="13.5" hidden="1"/>
    <row r="6834" ht="13.5" hidden="1"/>
    <row r="6835" ht="13.5" hidden="1"/>
    <row r="6836" ht="13.5" hidden="1"/>
    <row r="6837" ht="13.5" hidden="1"/>
    <row r="6838" ht="13.5" hidden="1"/>
    <row r="6839" ht="13.5" hidden="1"/>
    <row r="6840" ht="13.5" hidden="1"/>
    <row r="6841" ht="13.5" hidden="1"/>
    <row r="6842" ht="13.5" hidden="1"/>
    <row r="6843" ht="13.5" hidden="1"/>
    <row r="6844" ht="13.5" hidden="1"/>
    <row r="6845" ht="13.5" hidden="1"/>
    <row r="6846" ht="13.5" hidden="1"/>
    <row r="6847" ht="13.5" hidden="1"/>
    <row r="6848" ht="13.5" hidden="1"/>
    <row r="6849" ht="13.5" hidden="1"/>
    <row r="6850" ht="13.5" hidden="1"/>
    <row r="6851" ht="13.5" hidden="1"/>
    <row r="6852" ht="13.5" hidden="1"/>
    <row r="6853" ht="13.5" hidden="1"/>
    <row r="6854" ht="13.5" hidden="1"/>
    <row r="6855" ht="13.5" hidden="1"/>
    <row r="6856" ht="13.5" hidden="1"/>
    <row r="6857" ht="13.5" hidden="1"/>
    <row r="6858" ht="13.5" hidden="1"/>
    <row r="6859" ht="13.5" hidden="1"/>
    <row r="6860" ht="13.5" hidden="1"/>
    <row r="6861" ht="13.5" hidden="1"/>
    <row r="6862" ht="13.5" hidden="1"/>
    <row r="6863" ht="13.5" hidden="1"/>
    <row r="6864" ht="13.5" hidden="1"/>
    <row r="6865" ht="13.5" hidden="1"/>
    <row r="6866" ht="13.5" hidden="1"/>
    <row r="6867" ht="13.5" hidden="1"/>
    <row r="6868" ht="13.5" hidden="1"/>
    <row r="6869" ht="13.5" hidden="1"/>
    <row r="6870" ht="13.5" hidden="1"/>
    <row r="6871" ht="13.5" hidden="1"/>
    <row r="6872" ht="13.5" hidden="1"/>
    <row r="6873" ht="13.5" hidden="1"/>
    <row r="6874" ht="13.5" hidden="1"/>
    <row r="6875" ht="13.5" hidden="1"/>
    <row r="6876" ht="13.5" hidden="1"/>
    <row r="6877" ht="13.5" hidden="1"/>
    <row r="6878" ht="13.5" hidden="1"/>
    <row r="6879" ht="13.5" hidden="1"/>
    <row r="6880" ht="13.5" hidden="1"/>
    <row r="6881" ht="13.5" hidden="1"/>
    <row r="6882" ht="13.5" hidden="1"/>
    <row r="6883" ht="13.5" hidden="1"/>
    <row r="6884" ht="13.5" hidden="1"/>
    <row r="6885" ht="13.5" hidden="1"/>
    <row r="6886" ht="13.5" hidden="1"/>
    <row r="6887" ht="13.5" hidden="1"/>
    <row r="6888" ht="13.5" hidden="1"/>
    <row r="6889" ht="13.5" hidden="1"/>
    <row r="6890" ht="13.5" hidden="1"/>
    <row r="6891" ht="13.5" hidden="1"/>
    <row r="6892" ht="13.5" hidden="1"/>
    <row r="6893" ht="13.5" hidden="1"/>
    <row r="6894" ht="13.5" hidden="1"/>
    <row r="6895" ht="13.5" hidden="1"/>
    <row r="6896" ht="13.5" hidden="1"/>
    <row r="6897" ht="13.5" hidden="1"/>
    <row r="6898" ht="13.5" hidden="1"/>
    <row r="6899" ht="13.5" hidden="1"/>
    <row r="6900" ht="13.5" hidden="1"/>
    <row r="6901" ht="13.5" hidden="1"/>
    <row r="6902" ht="13.5" hidden="1"/>
    <row r="6903" ht="13.5" hidden="1"/>
    <row r="6904" ht="13.5" hidden="1"/>
    <row r="6905" ht="13.5" hidden="1"/>
    <row r="6906" ht="13.5" hidden="1"/>
    <row r="6907" ht="13.5" hidden="1"/>
    <row r="6908" ht="13.5" hidden="1"/>
    <row r="6909" ht="13.5" hidden="1"/>
    <row r="6910" ht="13.5" hidden="1"/>
    <row r="6911" ht="13.5" hidden="1"/>
    <row r="6912" ht="13.5" hidden="1"/>
    <row r="6913" ht="13.5" hidden="1"/>
    <row r="6914" ht="13.5" hidden="1"/>
    <row r="6915" ht="13.5" hidden="1"/>
    <row r="6916" ht="13.5" hidden="1"/>
    <row r="6917" ht="13.5" hidden="1"/>
    <row r="6918" ht="13.5" hidden="1"/>
    <row r="6919" ht="13.5" hidden="1"/>
    <row r="6920" ht="13.5" hidden="1"/>
    <row r="6921" ht="13.5" hidden="1"/>
    <row r="6922" ht="13.5" hidden="1"/>
    <row r="6923" ht="13.5" hidden="1"/>
    <row r="6924" ht="13.5" hidden="1"/>
    <row r="6925" ht="13.5" hidden="1"/>
    <row r="6926" ht="13.5" hidden="1"/>
    <row r="6927" ht="13.5" hidden="1"/>
    <row r="6928" ht="13.5" hidden="1"/>
    <row r="6929" ht="13.5" hidden="1"/>
    <row r="6930" ht="13.5" hidden="1"/>
    <row r="6931" ht="13.5" hidden="1"/>
    <row r="6932" ht="13.5" hidden="1"/>
    <row r="6933" ht="13.5" hidden="1"/>
    <row r="6934" ht="13.5" hidden="1"/>
    <row r="6935" ht="13.5" hidden="1"/>
    <row r="6936" ht="13.5" hidden="1"/>
    <row r="6937" ht="13.5" hidden="1"/>
    <row r="6938" ht="13.5" hidden="1"/>
    <row r="6939" ht="13.5" hidden="1"/>
    <row r="6940" ht="13.5" hidden="1"/>
    <row r="6941" ht="13.5" hidden="1"/>
    <row r="6942" ht="13.5" hidden="1"/>
    <row r="6943" ht="13.5" hidden="1"/>
    <row r="6944" ht="13.5" hidden="1"/>
    <row r="6945" ht="13.5" hidden="1"/>
    <row r="6946" ht="13.5" hidden="1"/>
    <row r="6947" ht="13.5" hidden="1"/>
    <row r="6948" ht="13.5" hidden="1"/>
    <row r="6949" ht="13.5" hidden="1"/>
    <row r="6950" ht="13.5" hidden="1"/>
    <row r="6951" ht="13.5" hidden="1"/>
    <row r="6952" ht="13.5" hidden="1"/>
    <row r="6953" ht="13.5" hidden="1"/>
    <row r="6954" ht="13.5" hidden="1"/>
    <row r="6955" ht="13.5" hidden="1"/>
    <row r="6956" ht="13.5" hidden="1"/>
    <row r="6957" ht="13.5" hidden="1"/>
    <row r="6958" ht="13.5" hidden="1"/>
    <row r="6959" ht="13.5" hidden="1"/>
    <row r="6960" ht="13.5" hidden="1"/>
    <row r="6961" ht="13.5" hidden="1"/>
    <row r="6962" ht="13.5" hidden="1"/>
    <row r="6963" ht="13.5" hidden="1"/>
    <row r="6964" ht="13.5" hidden="1"/>
    <row r="6965" ht="13.5" hidden="1"/>
    <row r="6966" ht="13.5" hidden="1"/>
    <row r="6967" ht="13.5" hidden="1"/>
    <row r="6968" ht="13.5" hidden="1"/>
    <row r="6969" ht="13.5" hidden="1"/>
    <row r="6970" ht="13.5" hidden="1"/>
    <row r="6971" ht="13.5" hidden="1"/>
    <row r="6972" ht="13.5" hidden="1"/>
    <row r="6973" ht="13.5" hidden="1"/>
    <row r="6974" ht="13.5" hidden="1"/>
    <row r="6975" ht="13.5" hidden="1"/>
    <row r="6976" ht="13.5" hidden="1"/>
    <row r="6977" ht="13.5" hidden="1"/>
    <row r="6978" ht="13.5" hidden="1"/>
    <row r="6979" ht="13.5" hidden="1"/>
    <row r="6980" ht="13.5" hidden="1"/>
    <row r="6981" ht="13.5" hidden="1"/>
    <row r="6982" ht="13.5" hidden="1"/>
    <row r="6983" ht="13.5" hidden="1"/>
    <row r="6984" ht="13.5" hidden="1"/>
    <row r="6985" ht="13.5" hidden="1"/>
    <row r="6986" ht="13.5" hidden="1"/>
    <row r="6987" ht="13.5" hidden="1"/>
    <row r="6988" ht="13.5" hidden="1"/>
    <row r="6989" ht="13.5" hidden="1"/>
    <row r="6990" ht="13.5" hidden="1"/>
    <row r="6991" ht="13.5" hidden="1"/>
    <row r="6992" ht="13.5" hidden="1"/>
    <row r="6993" ht="13.5" hidden="1"/>
    <row r="6994" ht="13.5" hidden="1"/>
    <row r="6995" ht="13.5" hidden="1"/>
    <row r="6996" ht="13.5" hidden="1"/>
    <row r="6997" ht="13.5" hidden="1"/>
    <row r="6998" ht="13.5" hidden="1"/>
    <row r="6999" ht="13.5" hidden="1"/>
    <row r="7000" ht="13.5" hidden="1"/>
    <row r="7001" ht="13.5" hidden="1"/>
    <row r="7002" ht="13.5" hidden="1"/>
    <row r="7003" ht="13.5" hidden="1"/>
    <row r="7004" ht="13.5" hidden="1"/>
    <row r="7005" ht="13.5" hidden="1"/>
    <row r="7006" ht="13.5" hidden="1"/>
    <row r="7007" ht="13.5" hidden="1"/>
    <row r="7008" ht="13.5" hidden="1"/>
    <row r="7009" ht="13.5" hidden="1"/>
    <row r="7010" ht="13.5" hidden="1"/>
    <row r="7011" ht="13.5" hidden="1"/>
    <row r="7012" ht="13.5" hidden="1"/>
    <row r="7013" ht="13.5" hidden="1"/>
    <row r="7014" ht="13.5" hidden="1"/>
    <row r="7015" ht="13.5" hidden="1"/>
    <row r="7016" ht="13.5" hidden="1"/>
    <row r="7017" ht="13.5" hidden="1"/>
    <row r="7018" ht="13.5" hidden="1"/>
    <row r="7019" ht="13.5" hidden="1"/>
    <row r="7020" ht="13.5" hidden="1"/>
    <row r="7021" ht="13.5" hidden="1"/>
    <row r="7022" ht="13.5" hidden="1"/>
    <row r="7023" ht="13.5" hidden="1"/>
    <row r="7024" ht="13.5" hidden="1"/>
    <row r="7025" ht="13.5" hidden="1"/>
    <row r="7026" ht="13.5" hidden="1"/>
    <row r="7027" ht="13.5" hidden="1"/>
    <row r="7028" ht="13.5" hidden="1"/>
    <row r="7029" ht="13.5" hidden="1"/>
    <row r="7030" ht="13.5" hidden="1"/>
    <row r="7031" ht="13.5" hidden="1"/>
    <row r="7032" ht="13.5" hidden="1"/>
    <row r="7033" ht="13.5" hidden="1"/>
    <row r="7034" ht="13.5" hidden="1"/>
    <row r="7035" ht="13.5" hidden="1"/>
    <row r="7036" ht="13.5" hidden="1"/>
    <row r="7037" ht="13.5" hidden="1"/>
    <row r="7038" ht="13.5" hidden="1"/>
    <row r="7039" ht="13.5" hidden="1"/>
    <row r="7040" ht="13.5" hidden="1"/>
    <row r="7041" ht="13.5" hidden="1"/>
    <row r="7042" ht="13.5" hidden="1"/>
    <row r="7043" ht="13.5" hidden="1"/>
    <row r="7044" ht="13.5" hidden="1"/>
    <row r="7045" ht="13.5" hidden="1"/>
    <row r="7046" ht="13.5" hidden="1"/>
    <row r="7047" ht="13.5" hidden="1"/>
    <row r="7048" ht="13.5" hidden="1"/>
    <row r="7049" ht="13.5" hidden="1"/>
    <row r="7050" ht="13.5" hidden="1"/>
    <row r="7051" ht="13.5" hidden="1"/>
    <row r="7052" ht="13.5" hidden="1"/>
    <row r="7053" ht="13.5" hidden="1"/>
    <row r="7054" ht="13.5" hidden="1"/>
    <row r="7055" ht="13.5" hidden="1"/>
    <row r="7056" ht="13.5" hidden="1"/>
    <row r="7057" ht="13.5" hidden="1"/>
    <row r="7058" ht="13.5" hidden="1"/>
    <row r="7059" ht="13.5" hidden="1"/>
    <row r="7060" ht="13.5" hidden="1"/>
    <row r="7061" ht="13.5" hidden="1"/>
    <row r="7062" ht="13.5" hidden="1"/>
    <row r="7063" ht="13.5" hidden="1"/>
    <row r="7064" ht="13.5" hidden="1"/>
    <row r="7065" ht="13.5" hidden="1"/>
    <row r="7066" ht="13.5" hidden="1"/>
    <row r="7067" ht="13.5" hidden="1"/>
    <row r="7068" ht="13.5" hidden="1"/>
    <row r="7069" ht="13.5" hidden="1"/>
    <row r="7070" ht="13.5" hidden="1"/>
    <row r="7071" ht="13.5" hidden="1"/>
    <row r="7072" ht="13.5" hidden="1"/>
    <row r="7073" ht="13.5" hidden="1"/>
    <row r="7074" ht="13.5" hidden="1"/>
    <row r="7075" ht="13.5" hidden="1"/>
    <row r="7076" ht="13.5" hidden="1"/>
    <row r="7077" ht="13.5" hidden="1"/>
    <row r="7078" ht="13.5" hidden="1"/>
    <row r="7079" ht="13.5" hidden="1"/>
    <row r="7080" ht="13.5" hidden="1"/>
    <row r="7081" ht="13.5" hidden="1"/>
    <row r="7082" ht="13.5" hidden="1"/>
    <row r="7083" ht="13.5" hidden="1"/>
    <row r="7084" ht="13.5" hidden="1"/>
    <row r="7085" ht="13.5" hidden="1"/>
    <row r="7086" ht="13.5" hidden="1"/>
    <row r="7087" ht="13.5" hidden="1"/>
    <row r="7088" ht="13.5" hidden="1"/>
    <row r="7089" ht="13.5" hidden="1"/>
    <row r="7090" ht="13.5" hidden="1"/>
    <row r="7091" ht="13.5" hidden="1"/>
    <row r="7092" ht="13.5" hidden="1"/>
    <row r="7093" ht="13.5" hidden="1"/>
    <row r="7094" ht="13.5" hidden="1"/>
    <row r="7095" ht="13.5" hidden="1"/>
    <row r="7096" ht="13.5" hidden="1"/>
    <row r="7097" ht="13.5" hidden="1"/>
    <row r="7098" ht="13.5" hidden="1"/>
    <row r="7099" ht="13.5" hidden="1"/>
    <row r="7100" ht="13.5" hidden="1"/>
    <row r="7101" ht="13.5" hidden="1"/>
    <row r="7102" ht="13.5" hidden="1"/>
    <row r="7103" ht="13.5" hidden="1"/>
    <row r="7104" ht="13.5" hidden="1"/>
    <row r="7105" ht="13.5" hidden="1"/>
    <row r="7106" ht="13.5" hidden="1"/>
    <row r="7107" ht="13.5" hidden="1"/>
    <row r="7108" ht="13.5" hidden="1"/>
    <row r="7109" ht="13.5" hidden="1"/>
    <row r="7110" ht="13.5" hidden="1"/>
    <row r="7111" ht="13.5" hidden="1"/>
    <row r="7112" ht="13.5" hidden="1"/>
    <row r="7113" ht="13.5" hidden="1"/>
    <row r="7114" ht="13.5" hidden="1"/>
    <row r="7115" ht="13.5" hidden="1"/>
    <row r="7116" ht="13.5" hidden="1"/>
    <row r="7117" ht="13.5" hidden="1"/>
    <row r="7118" ht="13.5" hidden="1"/>
    <row r="7119" ht="13.5" hidden="1"/>
    <row r="7120" ht="13.5" hidden="1"/>
    <row r="7121" ht="13.5" hidden="1"/>
    <row r="7122" ht="13.5" hidden="1"/>
    <row r="7123" ht="13.5" hidden="1"/>
    <row r="7124" ht="13.5" hidden="1"/>
    <row r="7125" ht="13.5" hidden="1"/>
    <row r="7126" ht="13.5" hidden="1"/>
    <row r="7127" ht="13.5" hidden="1"/>
    <row r="7128" ht="13.5" hidden="1"/>
    <row r="7129" ht="13.5" hidden="1"/>
    <row r="7130" ht="13.5" hidden="1"/>
    <row r="7131" ht="13.5" hidden="1"/>
    <row r="7132" ht="13.5" hidden="1"/>
    <row r="7133" ht="13.5" hidden="1"/>
    <row r="7134" ht="13.5" hidden="1"/>
    <row r="7135" ht="13.5" hidden="1"/>
    <row r="7136" ht="13.5" hidden="1"/>
    <row r="7137" ht="13.5" hidden="1"/>
    <row r="7138" ht="13.5" hidden="1"/>
    <row r="7139" ht="13.5" hidden="1"/>
    <row r="7140" ht="13.5" hidden="1"/>
    <row r="7141" ht="13.5" hidden="1"/>
    <row r="7142" ht="13.5" hidden="1"/>
    <row r="7143" ht="13.5" hidden="1"/>
    <row r="7144" ht="13.5" hidden="1"/>
    <row r="7145" ht="13.5" hidden="1"/>
    <row r="7146" ht="13.5" hidden="1"/>
    <row r="7147" ht="13.5" hidden="1"/>
    <row r="7148" ht="13.5" hidden="1"/>
    <row r="7149" ht="13.5" hidden="1"/>
    <row r="7150" ht="13.5" hidden="1"/>
    <row r="7151" ht="13.5" hidden="1"/>
    <row r="7152" ht="13.5" hidden="1"/>
    <row r="7153" ht="13.5" hidden="1"/>
    <row r="7154" ht="13.5" hidden="1"/>
    <row r="7155" ht="13.5" hidden="1"/>
    <row r="7156" ht="13.5" hidden="1"/>
    <row r="7157" ht="13.5" hidden="1"/>
    <row r="7158" ht="13.5" hidden="1"/>
    <row r="7159" ht="13.5" hidden="1"/>
    <row r="7160" ht="13.5" hidden="1"/>
    <row r="7161" ht="13.5" hidden="1"/>
    <row r="7162" ht="13.5" hidden="1"/>
    <row r="7163" ht="13.5" hidden="1"/>
    <row r="7164" ht="13.5" hidden="1"/>
    <row r="7165" ht="13.5" hidden="1"/>
    <row r="7166" ht="13.5" hidden="1"/>
    <row r="7167" ht="13.5" hidden="1"/>
    <row r="7168" ht="13.5" hidden="1"/>
    <row r="7169" ht="13.5" hidden="1"/>
    <row r="7170" ht="13.5" hidden="1"/>
    <row r="7171" ht="13.5" hidden="1"/>
    <row r="7172" ht="13.5" hidden="1"/>
    <row r="7173" ht="13.5" hidden="1"/>
    <row r="7174" ht="13.5" hidden="1"/>
    <row r="7175" ht="13.5" hidden="1"/>
    <row r="7176" ht="13.5" hidden="1"/>
    <row r="7177" ht="13.5" hidden="1"/>
    <row r="7178" ht="13.5" hidden="1"/>
    <row r="7179" ht="13.5" hidden="1"/>
    <row r="7180" ht="13.5" hidden="1"/>
    <row r="7181" ht="13.5" hidden="1"/>
    <row r="7182" ht="13.5" hidden="1"/>
    <row r="7183" ht="13.5" hidden="1"/>
    <row r="7184" ht="13.5" hidden="1"/>
    <row r="7185" ht="13.5" hidden="1"/>
    <row r="7186" ht="13.5" hidden="1"/>
    <row r="7187" ht="13.5" hidden="1"/>
    <row r="7188" ht="13.5" hidden="1"/>
    <row r="7189" ht="13.5" hidden="1"/>
    <row r="7190" ht="13.5" hidden="1"/>
    <row r="7191" ht="13.5" hidden="1"/>
    <row r="7192" ht="13.5" hidden="1"/>
    <row r="7193" ht="13.5" hidden="1"/>
    <row r="7194" ht="13.5" hidden="1"/>
    <row r="7195" ht="13.5" hidden="1"/>
    <row r="7196" ht="13.5" hidden="1"/>
    <row r="7197" ht="13.5" hidden="1"/>
    <row r="7198" ht="13.5" hidden="1"/>
    <row r="7199" ht="13.5" hidden="1"/>
    <row r="7200" ht="13.5" hidden="1"/>
    <row r="7201" ht="13.5" hidden="1"/>
    <row r="7202" ht="13.5" hidden="1"/>
    <row r="7203" ht="13.5" hidden="1"/>
    <row r="7204" ht="13.5" hidden="1"/>
    <row r="7205" ht="13.5" hidden="1"/>
    <row r="7206" ht="13.5" hidden="1"/>
    <row r="7207" ht="13.5" hidden="1"/>
    <row r="7208" ht="13.5" hidden="1"/>
    <row r="7209" ht="13.5" hidden="1"/>
    <row r="7210" ht="13.5" hidden="1"/>
    <row r="7211" ht="13.5" hidden="1"/>
    <row r="7212" ht="13.5" hidden="1"/>
    <row r="7213" ht="13.5" hidden="1"/>
    <row r="7214" ht="13.5" hidden="1"/>
    <row r="7215" ht="13.5" hidden="1"/>
    <row r="7216" ht="13.5" hidden="1"/>
    <row r="7217" ht="13.5" hidden="1"/>
    <row r="7218" ht="13.5" hidden="1"/>
    <row r="7219" ht="13.5" hidden="1"/>
    <row r="7220" ht="13.5" hidden="1"/>
    <row r="7221" ht="13.5" hidden="1"/>
    <row r="7222" ht="13.5" hidden="1"/>
    <row r="7223" ht="13.5" hidden="1"/>
    <row r="7224" ht="13.5" hidden="1"/>
    <row r="7225" ht="13.5" hidden="1"/>
    <row r="7226" ht="13.5" hidden="1"/>
    <row r="7227" ht="13.5" hidden="1"/>
    <row r="7228" ht="13.5" hidden="1"/>
    <row r="7229" ht="13.5" hidden="1"/>
    <row r="7230" ht="13.5" hidden="1"/>
    <row r="7231" ht="13.5" hidden="1"/>
    <row r="7232" ht="13.5" hidden="1"/>
    <row r="7233" ht="13.5" hidden="1"/>
    <row r="7234" ht="13.5" hidden="1"/>
    <row r="7235" ht="13.5" hidden="1"/>
    <row r="7236" ht="13.5" hidden="1"/>
    <row r="7237" ht="13.5" hidden="1"/>
    <row r="7238" ht="13.5" hidden="1"/>
    <row r="7239" ht="13.5" hidden="1"/>
    <row r="7240" ht="13.5" hidden="1"/>
    <row r="7241" ht="13.5" hidden="1"/>
    <row r="7242" ht="13.5" hidden="1"/>
    <row r="7243" ht="13.5" hidden="1"/>
    <row r="7244" ht="13.5" hidden="1"/>
    <row r="7245" ht="13.5" hidden="1"/>
    <row r="7246" ht="13.5" hidden="1"/>
    <row r="7247" ht="13.5" hidden="1"/>
    <row r="7248" ht="13.5" hidden="1"/>
    <row r="7249" ht="13.5" hidden="1"/>
    <row r="7250" ht="13.5" hidden="1"/>
    <row r="7251" ht="13.5" hidden="1"/>
    <row r="7252" ht="13.5" hidden="1"/>
    <row r="7253" ht="13.5" hidden="1"/>
    <row r="7254" ht="13.5" hidden="1"/>
    <row r="7255" ht="13.5" hidden="1"/>
    <row r="7256" ht="13.5" hidden="1"/>
    <row r="7257" ht="13.5" hidden="1"/>
    <row r="7258" ht="13.5" hidden="1"/>
    <row r="7259" ht="13.5" hidden="1"/>
    <row r="7260" ht="13.5" hidden="1"/>
    <row r="7261" ht="13.5" hidden="1"/>
    <row r="7262" ht="13.5" hidden="1"/>
    <row r="7263" ht="13.5" hidden="1"/>
    <row r="7264" ht="13.5" hidden="1"/>
    <row r="7265" ht="13.5" hidden="1"/>
    <row r="7266" ht="13.5" hidden="1"/>
    <row r="7267" ht="13.5" hidden="1"/>
    <row r="7268" ht="13.5" hidden="1"/>
    <row r="7269" ht="13.5" hidden="1"/>
    <row r="7270" ht="13.5" hidden="1"/>
    <row r="7271" ht="13.5" hidden="1"/>
    <row r="7272" ht="13.5" hidden="1"/>
    <row r="7273" ht="13.5" hidden="1"/>
    <row r="7274" ht="13.5" hidden="1"/>
    <row r="7275" ht="13.5" hidden="1"/>
    <row r="7276" ht="13.5" hidden="1"/>
    <row r="7277" ht="13.5" hidden="1"/>
    <row r="7278" ht="13.5" hidden="1"/>
    <row r="7279" ht="13.5" hidden="1"/>
    <row r="7280" ht="13.5" hidden="1"/>
    <row r="7281" ht="13.5" hidden="1"/>
    <row r="7282" ht="13.5" hidden="1"/>
    <row r="7283" ht="13.5" hidden="1"/>
    <row r="7284" ht="13.5" hidden="1"/>
    <row r="7285" ht="13.5" hidden="1"/>
    <row r="7286" ht="13.5" hidden="1"/>
    <row r="7287" ht="13.5" hidden="1"/>
    <row r="7288" ht="13.5" hidden="1"/>
    <row r="7289" ht="13.5" hidden="1"/>
    <row r="7290" ht="13.5" hidden="1"/>
    <row r="7291" ht="13.5" hidden="1"/>
    <row r="7292" ht="13.5" hidden="1"/>
    <row r="7293" ht="13.5" hidden="1"/>
    <row r="7294" ht="13.5" hidden="1"/>
    <row r="7295" ht="13.5" hidden="1"/>
    <row r="7296" ht="13.5" hidden="1"/>
    <row r="7297" ht="13.5" hidden="1"/>
    <row r="7298" ht="13.5" hidden="1"/>
    <row r="7299" ht="13.5" hidden="1"/>
    <row r="7300" ht="13.5" hidden="1"/>
    <row r="7301" ht="13.5" hidden="1"/>
    <row r="7302" ht="13.5" hidden="1"/>
    <row r="7303" ht="13.5" hidden="1"/>
    <row r="7304" ht="13.5" hidden="1"/>
    <row r="7305" ht="13.5" hidden="1"/>
    <row r="7306" ht="13.5" hidden="1"/>
    <row r="7307" ht="13.5" hidden="1"/>
    <row r="7308" ht="13.5" hidden="1"/>
    <row r="7309" ht="13.5" hidden="1"/>
    <row r="7310" ht="13.5" hidden="1"/>
    <row r="7311" ht="13.5" hidden="1"/>
    <row r="7312" ht="13.5" hidden="1"/>
    <row r="7313" ht="13.5" hidden="1"/>
    <row r="7314" ht="13.5" hidden="1"/>
    <row r="7315" ht="13.5" hidden="1"/>
    <row r="7316" ht="13.5" hidden="1"/>
    <row r="7317" ht="13.5" hidden="1"/>
    <row r="7318" ht="13.5" hidden="1"/>
    <row r="7319" ht="13.5" hidden="1"/>
    <row r="7320" ht="13.5" hidden="1"/>
    <row r="7321" ht="13.5" hidden="1"/>
    <row r="7322" ht="13.5" hidden="1"/>
    <row r="7323" ht="13.5" hidden="1"/>
    <row r="7324" ht="13.5" hidden="1"/>
    <row r="7325" ht="13.5" hidden="1"/>
    <row r="7326" ht="13.5" hidden="1"/>
    <row r="7327" ht="13.5" hidden="1"/>
    <row r="7328" ht="13.5" hidden="1"/>
    <row r="7329" ht="13.5" hidden="1"/>
    <row r="7330" ht="13.5" hidden="1"/>
    <row r="7331" ht="13.5" hidden="1"/>
    <row r="7332" ht="13.5" hidden="1"/>
    <row r="7333" ht="13.5" hidden="1"/>
    <row r="7334" ht="13.5" hidden="1"/>
    <row r="7335" ht="13.5" hidden="1"/>
    <row r="7336" ht="13.5" hidden="1"/>
    <row r="7337" ht="13.5" hidden="1"/>
    <row r="7338" ht="13.5" hidden="1"/>
    <row r="7339" ht="13.5" hidden="1"/>
    <row r="7340" ht="13.5" hidden="1"/>
    <row r="7341" ht="13.5" hidden="1"/>
    <row r="7342" ht="13.5" hidden="1"/>
    <row r="7343" ht="13.5" hidden="1"/>
    <row r="7344" ht="13.5" hidden="1"/>
    <row r="7345" ht="13.5" hidden="1"/>
    <row r="7346" ht="13.5" hidden="1"/>
    <row r="7347" ht="13.5" hidden="1"/>
    <row r="7348" ht="13.5" hidden="1"/>
    <row r="7349" ht="13.5" hidden="1"/>
    <row r="7350" ht="13.5" hidden="1"/>
    <row r="7351" ht="13.5" hidden="1"/>
    <row r="7352" ht="13.5" hidden="1"/>
    <row r="7353" ht="13.5" hidden="1"/>
    <row r="7354" ht="13.5" hidden="1"/>
    <row r="7355" ht="13.5" hidden="1"/>
    <row r="7356" ht="13.5" hidden="1"/>
    <row r="7357" ht="13.5" hidden="1"/>
    <row r="7358" ht="13.5" hidden="1"/>
    <row r="7359" ht="13.5" hidden="1"/>
    <row r="7360" ht="13.5" hidden="1"/>
    <row r="7361" ht="13.5" hidden="1"/>
    <row r="7362" ht="13.5" hidden="1"/>
    <row r="7363" ht="13.5" hidden="1"/>
    <row r="7364" ht="13.5" hidden="1"/>
    <row r="7365" ht="13.5" hidden="1"/>
    <row r="7366" ht="13.5" hidden="1"/>
    <row r="7367" ht="13.5" hidden="1"/>
    <row r="7368" ht="13.5" hidden="1"/>
    <row r="7369" ht="13.5" hidden="1"/>
    <row r="7370" ht="13.5" hidden="1"/>
    <row r="7371" ht="13.5" hidden="1"/>
    <row r="7372" ht="13.5" hidden="1"/>
    <row r="7373" ht="13.5" hidden="1"/>
    <row r="7374" ht="13.5" hidden="1"/>
    <row r="7375" ht="13.5" hidden="1"/>
    <row r="7376" ht="13.5" hidden="1"/>
    <row r="7377" ht="13.5" hidden="1"/>
    <row r="7378" ht="13.5" hidden="1"/>
    <row r="7379" ht="13.5" hidden="1"/>
    <row r="7380" ht="13.5" hidden="1"/>
    <row r="7381" ht="13.5" hidden="1"/>
    <row r="7382" ht="13.5" hidden="1"/>
    <row r="7383" ht="13.5" hidden="1"/>
    <row r="7384" ht="13.5" hidden="1"/>
    <row r="7385" ht="13.5" hidden="1"/>
    <row r="7386" ht="13.5" hidden="1"/>
    <row r="7387" ht="13.5" hidden="1"/>
    <row r="7388" ht="13.5" hidden="1"/>
    <row r="7389" ht="13.5" hidden="1"/>
    <row r="7390" ht="13.5" hidden="1"/>
    <row r="7391" ht="13.5" hidden="1"/>
    <row r="7392" ht="13.5" hidden="1"/>
    <row r="7393" ht="13.5" hidden="1"/>
    <row r="7394" ht="13.5" hidden="1"/>
    <row r="7395" ht="13.5" hidden="1"/>
    <row r="7396" ht="13.5" hidden="1"/>
    <row r="7397" ht="13.5" hidden="1"/>
    <row r="7398" ht="13.5" hidden="1"/>
    <row r="7399" ht="13.5" hidden="1"/>
    <row r="7400" ht="13.5" hidden="1"/>
    <row r="7401" ht="13.5" hidden="1"/>
    <row r="7402" ht="13.5" hidden="1"/>
    <row r="7403" ht="13.5" hidden="1"/>
    <row r="7404" ht="13.5" hidden="1"/>
    <row r="7405" ht="13.5" hidden="1"/>
    <row r="7406" ht="13.5" hidden="1"/>
    <row r="7407" ht="13.5" hidden="1"/>
    <row r="7408" ht="13.5" hidden="1"/>
    <row r="7409" ht="13.5" hidden="1"/>
    <row r="7410" ht="13.5" hidden="1"/>
    <row r="7411" ht="13.5" hidden="1"/>
    <row r="7412" ht="13.5" hidden="1"/>
    <row r="7413" ht="13.5" hidden="1"/>
    <row r="7414" ht="13.5" hidden="1"/>
    <row r="7415" ht="13.5" hidden="1"/>
    <row r="7416" ht="13.5" hidden="1"/>
    <row r="7417" ht="13.5" hidden="1"/>
    <row r="7418" ht="13.5" hidden="1"/>
    <row r="7419" ht="13.5" hidden="1"/>
    <row r="7420" ht="13.5" hidden="1"/>
    <row r="7421" ht="13.5" hidden="1"/>
    <row r="7422" ht="13.5" hidden="1"/>
    <row r="7423" ht="13.5" hidden="1"/>
    <row r="7424" ht="13.5" hidden="1"/>
    <row r="7425" ht="13.5" hidden="1"/>
    <row r="7426" ht="13.5" hidden="1"/>
    <row r="7427" ht="13.5" hidden="1"/>
    <row r="7428" ht="13.5" hidden="1"/>
    <row r="7429" ht="13.5" hidden="1"/>
    <row r="7430" ht="13.5" hidden="1"/>
    <row r="7431" ht="13.5" hidden="1"/>
    <row r="7432" ht="13.5" hidden="1"/>
    <row r="7433" ht="13.5" hidden="1"/>
    <row r="7434" ht="13.5" hidden="1"/>
    <row r="7435" ht="13.5" hidden="1"/>
    <row r="7436" ht="13.5" hidden="1"/>
    <row r="7437" ht="13.5" hidden="1"/>
    <row r="7438" ht="13.5" hidden="1"/>
    <row r="7439" ht="13.5" hidden="1"/>
    <row r="7440" ht="13.5" hidden="1"/>
    <row r="7441" ht="13.5" hidden="1"/>
    <row r="7442" ht="13.5" hidden="1"/>
    <row r="7443" ht="13.5" hidden="1"/>
    <row r="7444" ht="13.5" hidden="1"/>
    <row r="7445" ht="13.5" hidden="1"/>
    <row r="7446" ht="13.5" hidden="1"/>
    <row r="7447" ht="13.5" hidden="1"/>
    <row r="7448" ht="13.5" hidden="1"/>
    <row r="7449" ht="13.5" hidden="1"/>
    <row r="7450" ht="13.5" hidden="1"/>
    <row r="7451" ht="13.5" hidden="1"/>
    <row r="7452" ht="13.5" hidden="1"/>
    <row r="7453" ht="13.5" hidden="1"/>
    <row r="7454" ht="13.5" hidden="1"/>
    <row r="7455" ht="13.5" hidden="1"/>
    <row r="7456" ht="13.5" hidden="1"/>
    <row r="7457" ht="13.5" hidden="1"/>
    <row r="7458" ht="13.5" hidden="1"/>
    <row r="7459" ht="13.5" hidden="1"/>
    <row r="7460" ht="13.5" hidden="1"/>
    <row r="7461" ht="13.5" hidden="1"/>
    <row r="7462" ht="13.5" hidden="1"/>
    <row r="7463" ht="13.5" hidden="1"/>
    <row r="7464" ht="13.5" hidden="1"/>
    <row r="7465" ht="13.5" hidden="1"/>
    <row r="7466" ht="13.5" hidden="1"/>
    <row r="7467" ht="13.5" hidden="1"/>
    <row r="7468" ht="13.5" hidden="1"/>
    <row r="7469" ht="13.5" hidden="1"/>
    <row r="7470" ht="13.5" hidden="1"/>
    <row r="7471" ht="13.5" hidden="1"/>
    <row r="7472" ht="13.5" hidden="1"/>
    <row r="7473" ht="13.5" hidden="1"/>
    <row r="7474" ht="13.5" hidden="1"/>
    <row r="7475" ht="13.5" hidden="1"/>
    <row r="7476" ht="13.5" hidden="1"/>
    <row r="7477" ht="13.5" hidden="1"/>
    <row r="7478" ht="13.5" hidden="1"/>
    <row r="7479" ht="13.5" hidden="1"/>
    <row r="7480" ht="13.5" hidden="1"/>
    <row r="7481" ht="13.5" hidden="1"/>
    <row r="7482" ht="13.5" hidden="1"/>
    <row r="7483" ht="13.5" hidden="1"/>
    <row r="7484" ht="13.5" hidden="1"/>
    <row r="7485" ht="13.5" hidden="1"/>
    <row r="7486" ht="13.5" hidden="1"/>
    <row r="7487" ht="13.5" hidden="1"/>
    <row r="7488" ht="13.5" hidden="1"/>
    <row r="7489" ht="13.5" hidden="1"/>
    <row r="7490" ht="13.5" hidden="1"/>
    <row r="7491" ht="13.5" hidden="1"/>
    <row r="7492" ht="13.5" hidden="1"/>
    <row r="7493" ht="13.5" hidden="1"/>
    <row r="7494" ht="13.5" hidden="1"/>
    <row r="7495" ht="13.5" hidden="1"/>
    <row r="7496" ht="13.5" hidden="1"/>
    <row r="7497" ht="13.5" hidden="1"/>
    <row r="7498" ht="13.5" hidden="1"/>
    <row r="7499" ht="13.5" hidden="1"/>
    <row r="7500" ht="13.5" hidden="1"/>
    <row r="7501" ht="13.5" hidden="1"/>
    <row r="7502" ht="13.5" hidden="1"/>
    <row r="7503" ht="13.5" hidden="1"/>
    <row r="7504" ht="13.5" hidden="1"/>
    <row r="7505" ht="13.5" hidden="1"/>
    <row r="7506" ht="13.5" hidden="1"/>
    <row r="7507" ht="13.5" hidden="1"/>
    <row r="7508" ht="13.5" hidden="1"/>
    <row r="7509" ht="13.5" hidden="1"/>
    <row r="7510" ht="13.5" hidden="1"/>
    <row r="7511" ht="13.5" hidden="1"/>
    <row r="7512" ht="13.5" hidden="1"/>
    <row r="7513" ht="13.5" hidden="1"/>
    <row r="7514" ht="13.5" hidden="1"/>
    <row r="7515" ht="13.5" hidden="1"/>
    <row r="7516" ht="13.5" hidden="1"/>
    <row r="7517" ht="13.5" hidden="1"/>
    <row r="7518" ht="13.5" hidden="1"/>
    <row r="7519" ht="13.5" hidden="1"/>
    <row r="7520" ht="13.5" hidden="1"/>
    <row r="7521" ht="13.5" hidden="1"/>
    <row r="7522" ht="13.5" hidden="1"/>
    <row r="7523" ht="13.5" hidden="1"/>
    <row r="7524" ht="13.5" hidden="1"/>
    <row r="7525" ht="13.5" hidden="1"/>
    <row r="7526" ht="13.5" hidden="1"/>
    <row r="7527" ht="13.5" hidden="1"/>
    <row r="7528" ht="13.5" hidden="1"/>
    <row r="7529" ht="13.5" hidden="1"/>
    <row r="7530" ht="13.5" hidden="1"/>
    <row r="7531" ht="13.5" hidden="1"/>
    <row r="7532" ht="13.5" hidden="1"/>
    <row r="7533" ht="13.5" hidden="1"/>
    <row r="7534" ht="13.5" hidden="1"/>
    <row r="7535" ht="13.5" hidden="1"/>
    <row r="7536" ht="13.5" hidden="1"/>
    <row r="7537" ht="13.5" hidden="1"/>
    <row r="7538" ht="13.5" hidden="1"/>
    <row r="7539" ht="13.5" hidden="1"/>
    <row r="7540" ht="13.5" hidden="1"/>
    <row r="7541" ht="13.5" hidden="1"/>
    <row r="7542" ht="13.5" hidden="1"/>
    <row r="7543" ht="13.5" hidden="1"/>
    <row r="7544" ht="13.5" hidden="1"/>
    <row r="7545" ht="13.5" hidden="1"/>
    <row r="7546" ht="13.5" hidden="1"/>
    <row r="7547" ht="13.5" hidden="1"/>
    <row r="7548" ht="13.5" hidden="1"/>
    <row r="7549" ht="13.5" hidden="1"/>
    <row r="7550" ht="13.5" hidden="1"/>
    <row r="7551" ht="13.5" hidden="1"/>
    <row r="7552" ht="13.5" hidden="1"/>
    <row r="7553" ht="13.5" hidden="1"/>
    <row r="7554" ht="13.5" hidden="1"/>
    <row r="7555" ht="13.5" hidden="1"/>
    <row r="7556" ht="13.5" hidden="1"/>
    <row r="7557" ht="13.5" hidden="1"/>
    <row r="7558" ht="13.5" hidden="1"/>
    <row r="7559" ht="13.5" hidden="1"/>
    <row r="7560" ht="13.5" hidden="1"/>
    <row r="7561" ht="13.5" hidden="1"/>
    <row r="7562" ht="13.5" hidden="1"/>
    <row r="7563" ht="13.5" hidden="1"/>
    <row r="7564" ht="13.5" hidden="1"/>
    <row r="7565" ht="13.5" hidden="1"/>
    <row r="7566" ht="13.5" hidden="1"/>
    <row r="7567" ht="13.5" hidden="1"/>
    <row r="7568" ht="13.5" hidden="1"/>
    <row r="7569" ht="13.5" hidden="1"/>
    <row r="7570" ht="13.5" hidden="1"/>
    <row r="7571" ht="13.5" hidden="1"/>
    <row r="7572" ht="13.5" hidden="1"/>
    <row r="7573" ht="13.5" hidden="1"/>
    <row r="7574" ht="13.5" hidden="1"/>
    <row r="7575" ht="13.5" hidden="1"/>
    <row r="7576" ht="13.5" hidden="1"/>
    <row r="7577" ht="13.5" hidden="1"/>
    <row r="7578" ht="13.5" hidden="1"/>
    <row r="7579" ht="13.5" hidden="1"/>
    <row r="7580" ht="13.5" hidden="1"/>
    <row r="7581" ht="13.5" hidden="1"/>
    <row r="7582" ht="13.5" hidden="1"/>
    <row r="7583" ht="13.5" hidden="1"/>
    <row r="7584" ht="13.5" hidden="1"/>
    <row r="7585" ht="13.5" hidden="1"/>
    <row r="7586" ht="13.5" hidden="1"/>
    <row r="7587" ht="13.5" hidden="1"/>
    <row r="7588" ht="13.5" hidden="1"/>
    <row r="7589" ht="13.5" hidden="1"/>
    <row r="7590" ht="13.5" hidden="1"/>
    <row r="7591" ht="13.5" hidden="1"/>
    <row r="7592" ht="13.5" hidden="1"/>
    <row r="7593" ht="13.5" hidden="1"/>
    <row r="7594" ht="13.5" hidden="1"/>
    <row r="7595" ht="13.5" hidden="1"/>
    <row r="7596" ht="13.5" hidden="1"/>
    <row r="7597" ht="13.5" hidden="1"/>
    <row r="7598" ht="13.5" hidden="1"/>
    <row r="7599" ht="13.5" hidden="1"/>
    <row r="7600" ht="13.5" hidden="1"/>
    <row r="7601" ht="13.5" hidden="1"/>
    <row r="7602" ht="13.5" hidden="1"/>
    <row r="7603" ht="13.5" hidden="1"/>
    <row r="7604" ht="13.5" hidden="1"/>
    <row r="7605" ht="13.5" hidden="1"/>
    <row r="7606" ht="13.5" hidden="1"/>
    <row r="7607" ht="13.5" hidden="1"/>
    <row r="7608" ht="13.5" hidden="1"/>
    <row r="7609" ht="13.5" hidden="1"/>
    <row r="7610" ht="13.5" hidden="1"/>
    <row r="7611" ht="13.5" hidden="1"/>
    <row r="7612" ht="13.5" hidden="1"/>
    <row r="7613" ht="13.5" hidden="1"/>
    <row r="7614" ht="13.5" hidden="1"/>
    <row r="7615" ht="13.5" hidden="1"/>
    <row r="7616" ht="13.5" hidden="1"/>
    <row r="7617" ht="13.5" hidden="1"/>
    <row r="7618" ht="13.5" hidden="1"/>
    <row r="7619" ht="13.5" hidden="1"/>
    <row r="7620" ht="13.5" hidden="1"/>
    <row r="7621" ht="13.5" hidden="1"/>
    <row r="7622" ht="13.5" hidden="1"/>
    <row r="7623" ht="13.5" hidden="1"/>
    <row r="7624" ht="13.5" hidden="1"/>
    <row r="7625" ht="13.5" hidden="1"/>
    <row r="7626" ht="13.5" hidden="1"/>
    <row r="7627" ht="13.5" hidden="1"/>
    <row r="7628" ht="13.5" hidden="1"/>
    <row r="7629" ht="13.5" hidden="1"/>
    <row r="7630" ht="13.5" hidden="1"/>
    <row r="7631" ht="13.5" hidden="1"/>
    <row r="7632" ht="13.5" hidden="1"/>
    <row r="7633" ht="13.5" hidden="1"/>
    <row r="7634" ht="13.5" hidden="1"/>
    <row r="7635" ht="13.5" hidden="1"/>
    <row r="7636" ht="13.5" hidden="1"/>
    <row r="7637" ht="13.5" hidden="1"/>
    <row r="7638" ht="13.5" hidden="1"/>
    <row r="7639" ht="13.5" hidden="1"/>
    <row r="7640" ht="13.5" hidden="1"/>
    <row r="7641" ht="13.5" hidden="1"/>
    <row r="7642" ht="13.5" hidden="1"/>
    <row r="7643" ht="13.5" hidden="1"/>
    <row r="7644" ht="13.5" hidden="1"/>
    <row r="7645" ht="13.5" hidden="1"/>
    <row r="7646" ht="13.5" hidden="1"/>
    <row r="7647" ht="13.5" hidden="1"/>
    <row r="7648" ht="13.5" hidden="1"/>
    <row r="7649" ht="13.5" hidden="1"/>
    <row r="7650" ht="13.5" hidden="1"/>
    <row r="7651" ht="13.5" hidden="1"/>
    <row r="7652" ht="13.5" hidden="1"/>
    <row r="7653" ht="13.5" hidden="1"/>
    <row r="7654" ht="13.5" hidden="1"/>
    <row r="7655" ht="13.5" hidden="1"/>
    <row r="7656" ht="13.5" hidden="1"/>
    <row r="7657" ht="13.5" hidden="1"/>
    <row r="7658" ht="13.5" hidden="1"/>
    <row r="7659" ht="13.5" hidden="1"/>
    <row r="7660" ht="13.5" hidden="1"/>
    <row r="7661" ht="13.5" hidden="1"/>
    <row r="7662" ht="13.5" hidden="1"/>
    <row r="7663" ht="13.5" hidden="1"/>
    <row r="7664" ht="13.5" hidden="1"/>
    <row r="7665" ht="13.5" hidden="1"/>
    <row r="7666" ht="13.5" hidden="1"/>
    <row r="7667" ht="13.5" hidden="1"/>
    <row r="7668" ht="13.5" hidden="1"/>
    <row r="7669" ht="13.5" hidden="1"/>
    <row r="7670" ht="13.5" hidden="1"/>
    <row r="7671" ht="13.5" hidden="1"/>
    <row r="7672" ht="13.5" hidden="1"/>
    <row r="7673" ht="13.5" hidden="1"/>
    <row r="7674" ht="13.5" hidden="1"/>
    <row r="7675" ht="13.5" hidden="1"/>
    <row r="7676" ht="13.5" hidden="1"/>
    <row r="7677" ht="13.5" hidden="1"/>
    <row r="7678" ht="13.5" hidden="1"/>
    <row r="7679" ht="13.5" hidden="1"/>
    <row r="7680" ht="13.5" hidden="1"/>
    <row r="7681" ht="13.5" hidden="1"/>
    <row r="7682" ht="13.5" hidden="1"/>
    <row r="7683" ht="13.5" hidden="1"/>
    <row r="7684" ht="13.5" hidden="1"/>
    <row r="7685" ht="13.5" hidden="1"/>
    <row r="7686" ht="13.5" hidden="1"/>
    <row r="7687" ht="13.5" hidden="1"/>
    <row r="7688" ht="13.5" hidden="1"/>
    <row r="7689" ht="13.5" hidden="1"/>
    <row r="7690" ht="13.5" hidden="1"/>
    <row r="7691" ht="13.5" hidden="1"/>
    <row r="7692" ht="13.5" hidden="1"/>
    <row r="7693" ht="13.5" hidden="1"/>
    <row r="7694" ht="13.5" hidden="1"/>
    <row r="7695" ht="13.5" hidden="1"/>
    <row r="7696" ht="13.5" hidden="1"/>
    <row r="7697" ht="13.5" hidden="1"/>
    <row r="7698" ht="13.5" hidden="1"/>
    <row r="7699" ht="13.5" hidden="1"/>
    <row r="7700" ht="13.5" hidden="1"/>
    <row r="7701" ht="13.5" hidden="1"/>
    <row r="7702" ht="13.5" hidden="1"/>
    <row r="7703" ht="13.5" hidden="1"/>
    <row r="7704" ht="13.5" hidden="1"/>
    <row r="7705" ht="13.5" hidden="1"/>
    <row r="7706" ht="13.5" hidden="1"/>
    <row r="7707" ht="13.5" hidden="1"/>
    <row r="7708" ht="13.5" hidden="1"/>
    <row r="7709" ht="13.5" hidden="1"/>
    <row r="7710" ht="13.5" hidden="1"/>
    <row r="7711" ht="13.5" hidden="1"/>
    <row r="7712" ht="13.5" hidden="1"/>
    <row r="7713" ht="13.5" hidden="1"/>
    <row r="7714" ht="13.5" hidden="1"/>
    <row r="7715" ht="13.5" hidden="1"/>
    <row r="7716" ht="13.5" hidden="1"/>
    <row r="7717" ht="13.5" hidden="1"/>
    <row r="7718" ht="13.5" hidden="1"/>
    <row r="7719" ht="13.5" hidden="1"/>
    <row r="7720" ht="13.5" hidden="1"/>
    <row r="7721" ht="13.5" hidden="1"/>
    <row r="7722" ht="13.5" hidden="1"/>
    <row r="7723" ht="13.5" hidden="1"/>
    <row r="7724" ht="13.5" hidden="1"/>
    <row r="7725" ht="13.5" hidden="1"/>
    <row r="7726" ht="13.5" hidden="1"/>
    <row r="7727" ht="13.5" hidden="1"/>
    <row r="7728" ht="13.5" hidden="1"/>
    <row r="7729" ht="13.5" hidden="1"/>
    <row r="7730" ht="13.5" hidden="1"/>
    <row r="7731" ht="13.5" hidden="1"/>
    <row r="7732" ht="13.5" hidden="1"/>
    <row r="7733" ht="13.5" hidden="1"/>
    <row r="7734" ht="13.5" hidden="1"/>
    <row r="7735" ht="13.5" hidden="1"/>
    <row r="7736" ht="13.5" hidden="1"/>
    <row r="7737" ht="13.5" hidden="1"/>
    <row r="7738" ht="13.5" hidden="1"/>
    <row r="7739" ht="13.5" hidden="1"/>
    <row r="7740" ht="13.5" hidden="1"/>
    <row r="7741" ht="13.5" hidden="1"/>
    <row r="7742" ht="13.5" hidden="1"/>
    <row r="7743" ht="13.5" hidden="1"/>
    <row r="7744" ht="13.5" hidden="1"/>
    <row r="7745" ht="13.5" hidden="1"/>
    <row r="7746" ht="13.5" hidden="1"/>
    <row r="7747" ht="13.5" hidden="1"/>
    <row r="7748" ht="13.5" hidden="1"/>
    <row r="7749" ht="13.5" hidden="1"/>
    <row r="7750" ht="13.5" hidden="1"/>
    <row r="7751" ht="13.5" hidden="1"/>
    <row r="7752" ht="13.5" hidden="1"/>
    <row r="7753" ht="13.5" hidden="1"/>
    <row r="7754" ht="13.5" hidden="1"/>
    <row r="7755" ht="13.5" hidden="1"/>
    <row r="7756" ht="13.5" hidden="1"/>
    <row r="7757" ht="13.5" hidden="1"/>
    <row r="7758" ht="13.5" hidden="1"/>
    <row r="7759" ht="13.5" hidden="1"/>
    <row r="7760" ht="13.5" hidden="1"/>
    <row r="7761" ht="13.5" hidden="1"/>
    <row r="7762" ht="13.5" hidden="1"/>
    <row r="7763" ht="13.5" hidden="1"/>
    <row r="7764" ht="13.5" hidden="1"/>
    <row r="7765" ht="13.5" hidden="1"/>
    <row r="7766" ht="13.5" hidden="1"/>
    <row r="7767" ht="13.5" hidden="1"/>
    <row r="7768" ht="13.5" hidden="1"/>
    <row r="7769" ht="13.5" hidden="1"/>
    <row r="7770" ht="13.5" hidden="1"/>
    <row r="7771" ht="13.5" hidden="1"/>
    <row r="7772" ht="13.5" hidden="1"/>
    <row r="7773" ht="13.5" hidden="1"/>
    <row r="7774" ht="13.5" hidden="1"/>
    <row r="7775" ht="13.5" hidden="1"/>
    <row r="7776" ht="13.5" hidden="1"/>
    <row r="7777" ht="13.5" hidden="1"/>
    <row r="7778" ht="13.5" hidden="1"/>
    <row r="7779" ht="13.5" hidden="1"/>
    <row r="7780" ht="13.5" hidden="1"/>
    <row r="7781" ht="13.5" hidden="1"/>
    <row r="7782" ht="13.5" hidden="1"/>
    <row r="7783" ht="13.5" hidden="1"/>
    <row r="7784" ht="13.5" hidden="1"/>
    <row r="7785" ht="13.5" hidden="1"/>
    <row r="7786" ht="13.5" hidden="1"/>
    <row r="7787" ht="13.5" hidden="1"/>
    <row r="7788" ht="13.5" hidden="1"/>
    <row r="7789" ht="13.5" hidden="1"/>
    <row r="7790" ht="13.5" hidden="1"/>
    <row r="7791" ht="13.5" hidden="1"/>
    <row r="7792" ht="13.5" hidden="1"/>
    <row r="7793" ht="13.5" hidden="1"/>
    <row r="7794" ht="13.5" hidden="1"/>
    <row r="7795" ht="13.5" hidden="1"/>
    <row r="7796" ht="13.5" hidden="1"/>
    <row r="7797" ht="13.5" hidden="1"/>
    <row r="7798" ht="13.5" hidden="1"/>
    <row r="7799" ht="13.5" hidden="1"/>
    <row r="7800" ht="13.5" hidden="1"/>
    <row r="7801" ht="13.5" hidden="1"/>
    <row r="7802" ht="13.5" hidden="1"/>
    <row r="7803" ht="13.5" hidden="1"/>
    <row r="7804" ht="13.5" hidden="1"/>
    <row r="7805" ht="13.5" hidden="1"/>
    <row r="7806" ht="13.5" hidden="1"/>
    <row r="7807" ht="13.5" hidden="1"/>
    <row r="7808" ht="13.5" hidden="1"/>
    <row r="7809" ht="13.5" hidden="1"/>
    <row r="7810" ht="13.5" hidden="1"/>
    <row r="7811" ht="13.5" hidden="1"/>
    <row r="7812" ht="13.5" hidden="1"/>
    <row r="7813" ht="13.5" hidden="1"/>
    <row r="7814" ht="13.5" hidden="1"/>
    <row r="7815" ht="13.5" hidden="1"/>
    <row r="7816" ht="13.5" hidden="1"/>
    <row r="7817" ht="13.5" hidden="1"/>
    <row r="7818" ht="13.5" hidden="1"/>
    <row r="7819" ht="13.5" hidden="1"/>
    <row r="7820" ht="13.5" hidden="1"/>
    <row r="7821" ht="13.5" hidden="1"/>
    <row r="7822" ht="13.5" hidden="1"/>
    <row r="7823" ht="13.5" hidden="1"/>
    <row r="7824" ht="13.5" hidden="1"/>
    <row r="7825" ht="13.5" hidden="1"/>
    <row r="7826" ht="13.5" hidden="1"/>
    <row r="7827" ht="13.5" hidden="1"/>
    <row r="7828" ht="13.5" hidden="1"/>
    <row r="7829" ht="13.5" hidden="1"/>
    <row r="7830" ht="13.5" hidden="1"/>
    <row r="7831" ht="13.5" hidden="1"/>
    <row r="7832" ht="13.5" hidden="1"/>
    <row r="7833" ht="13.5" hidden="1"/>
    <row r="7834" ht="13.5" hidden="1"/>
    <row r="7835" ht="13.5" hidden="1"/>
    <row r="7836" ht="13.5" hidden="1"/>
    <row r="7837" ht="13.5" hidden="1"/>
    <row r="7838" ht="13.5" hidden="1"/>
    <row r="7839" ht="13.5" hidden="1"/>
    <row r="7840" ht="13.5" hidden="1"/>
    <row r="7841" ht="13.5" hidden="1"/>
    <row r="7842" ht="13.5" hidden="1"/>
    <row r="7843" ht="13.5" hidden="1"/>
    <row r="7844" ht="13.5" hidden="1"/>
    <row r="7845" ht="13.5" hidden="1"/>
    <row r="7846" ht="13.5" hidden="1"/>
    <row r="7847" ht="13.5" hidden="1"/>
    <row r="7848" ht="13.5" hidden="1"/>
    <row r="7849" ht="13.5" hidden="1"/>
    <row r="7850" ht="13.5" hidden="1"/>
    <row r="7851" ht="13.5" hidden="1"/>
    <row r="7852" ht="13.5" hidden="1"/>
    <row r="7853" ht="13.5" hidden="1"/>
    <row r="7854" ht="13.5" hidden="1"/>
    <row r="7855" ht="13.5" hidden="1"/>
    <row r="7856" ht="13.5" hidden="1"/>
    <row r="7857" ht="13.5" hidden="1"/>
    <row r="7858" ht="13.5" hidden="1"/>
    <row r="7859" ht="13.5" hidden="1"/>
    <row r="7860" ht="13.5" hidden="1"/>
    <row r="7861" ht="13.5" hidden="1"/>
    <row r="7862" ht="13.5" hidden="1"/>
    <row r="7863" ht="13.5" hidden="1"/>
    <row r="7864" ht="13.5" hidden="1"/>
    <row r="7865" ht="13.5" hidden="1"/>
    <row r="7866" ht="13.5" hidden="1"/>
    <row r="7867" ht="13.5" hidden="1"/>
    <row r="7868" ht="13.5" hidden="1"/>
    <row r="7869" ht="13.5" hidden="1"/>
    <row r="7870" ht="13.5" hidden="1"/>
    <row r="7871" ht="13.5" hidden="1"/>
    <row r="7872" ht="13.5" hidden="1"/>
    <row r="7873" ht="13.5" hidden="1"/>
    <row r="7874" ht="13.5" hidden="1"/>
    <row r="7875" ht="13.5" hidden="1"/>
    <row r="7876" ht="13.5" hidden="1"/>
    <row r="7877" ht="13.5" hidden="1"/>
    <row r="7878" ht="13.5" hidden="1"/>
    <row r="7879" ht="13.5" hidden="1"/>
    <row r="7880" ht="13.5" hidden="1"/>
    <row r="7881" ht="13.5" hidden="1"/>
    <row r="7882" ht="13.5" hidden="1"/>
    <row r="7883" ht="13.5" hidden="1"/>
    <row r="7884" ht="13.5" hidden="1"/>
    <row r="7885" ht="13.5" hidden="1"/>
    <row r="7886" ht="13.5" hidden="1"/>
    <row r="7887" ht="13.5" hidden="1"/>
    <row r="7888" ht="13.5" hidden="1"/>
    <row r="7889" ht="13.5" hidden="1"/>
    <row r="7890" ht="13.5" hidden="1"/>
    <row r="7891" ht="13.5" hidden="1"/>
    <row r="7892" ht="13.5" hidden="1"/>
    <row r="7893" ht="13.5" hidden="1"/>
    <row r="7894" ht="13.5" hidden="1"/>
    <row r="7895" ht="13.5" hidden="1"/>
    <row r="7896" ht="13.5" hidden="1"/>
    <row r="7897" ht="13.5" hidden="1"/>
    <row r="7898" ht="13.5" hidden="1"/>
    <row r="7899" ht="13.5" hidden="1"/>
    <row r="7900" ht="13.5" hidden="1"/>
    <row r="7901" ht="13.5" hidden="1"/>
    <row r="7902" ht="13.5" hidden="1"/>
    <row r="7903" ht="13.5" hidden="1"/>
    <row r="7904" ht="13.5" hidden="1"/>
    <row r="7905" ht="13.5" hidden="1"/>
    <row r="7906" ht="13.5" hidden="1"/>
    <row r="7907" ht="13.5" hidden="1"/>
    <row r="7908" ht="13.5" hidden="1"/>
    <row r="7909" ht="13.5" hidden="1"/>
    <row r="7910" ht="13.5" hidden="1"/>
    <row r="7911" ht="13.5" hidden="1"/>
    <row r="7912" ht="13.5" hidden="1"/>
    <row r="7913" ht="13.5" hidden="1"/>
    <row r="7914" ht="13.5" hidden="1"/>
    <row r="7915" ht="13.5" hidden="1"/>
    <row r="7916" ht="13.5" hidden="1"/>
    <row r="7917" ht="13.5" hidden="1"/>
    <row r="7918" ht="13.5" hidden="1"/>
    <row r="7919" ht="13.5" hidden="1"/>
    <row r="7920" ht="13.5" hidden="1"/>
    <row r="7921" ht="13.5" hidden="1"/>
    <row r="7922" ht="13.5" hidden="1"/>
    <row r="7923" ht="13.5" hidden="1"/>
    <row r="7924" ht="13.5" hidden="1"/>
    <row r="7925" ht="13.5" hidden="1"/>
    <row r="7926" ht="13.5" hidden="1"/>
    <row r="7927" ht="13.5" hidden="1"/>
    <row r="7928" ht="13.5" hidden="1"/>
    <row r="7929" ht="13.5" hidden="1"/>
    <row r="7930" ht="13.5" hidden="1"/>
    <row r="7931" ht="13.5" hidden="1"/>
    <row r="7932" ht="13.5" hidden="1"/>
    <row r="7933" ht="13.5" hidden="1"/>
    <row r="7934" ht="13.5" hidden="1"/>
    <row r="7935" ht="13.5" hidden="1"/>
    <row r="7936" ht="13.5" hidden="1"/>
    <row r="7937" ht="13.5" hidden="1"/>
    <row r="7938" ht="13.5" hidden="1"/>
    <row r="7939" ht="13.5" hidden="1"/>
    <row r="7940" ht="13.5" hidden="1"/>
    <row r="7941" ht="13.5" hidden="1"/>
    <row r="7942" ht="13.5" hidden="1"/>
    <row r="7943" ht="13.5" hidden="1"/>
    <row r="7944" ht="13.5" hidden="1"/>
    <row r="7945" ht="13.5" hidden="1"/>
    <row r="7946" ht="13.5" hidden="1"/>
    <row r="7947" ht="13.5" hidden="1"/>
    <row r="7948" ht="13.5" hidden="1"/>
    <row r="7949" ht="13.5" hidden="1"/>
    <row r="7950" ht="13.5" hidden="1"/>
    <row r="7951" ht="13.5" hidden="1"/>
    <row r="7952" ht="13.5" hidden="1"/>
    <row r="7953" ht="13.5" hidden="1"/>
    <row r="7954" ht="13.5" hidden="1"/>
    <row r="7955" ht="13.5" hidden="1"/>
    <row r="7956" ht="13.5" hidden="1"/>
    <row r="7957" ht="13.5" hidden="1"/>
    <row r="7958" ht="13.5" hidden="1"/>
    <row r="7959" ht="13.5" hidden="1"/>
    <row r="7960" ht="13.5" hidden="1"/>
    <row r="7961" ht="13.5" hidden="1"/>
    <row r="7962" ht="13.5" hidden="1"/>
    <row r="7963" ht="13.5" hidden="1"/>
    <row r="7964" ht="13.5" hidden="1"/>
    <row r="7965" ht="13.5" hidden="1"/>
    <row r="7966" ht="13.5" hidden="1"/>
    <row r="7967" ht="13.5" hidden="1"/>
    <row r="7968" ht="13.5" hidden="1"/>
    <row r="7969" ht="13.5" hidden="1"/>
    <row r="7970" ht="13.5" hidden="1"/>
    <row r="7971" ht="13.5" hidden="1"/>
    <row r="7972" ht="13.5" hidden="1"/>
    <row r="7973" ht="13.5" hidden="1"/>
    <row r="7974" ht="13.5" hidden="1"/>
    <row r="7975" ht="13.5" hidden="1"/>
    <row r="7976" ht="13.5" hidden="1"/>
    <row r="7977" ht="13.5" hidden="1"/>
    <row r="7978" ht="13.5" hidden="1"/>
    <row r="7979" ht="13.5" hidden="1"/>
    <row r="7980" ht="13.5" hidden="1"/>
    <row r="7981" ht="13.5" hidden="1"/>
    <row r="7982" ht="13.5" hidden="1"/>
    <row r="7983" ht="13.5" hidden="1"/>
    <row r="7984" ht="13.5" hidden="1"/>
    <row r="7985" ht="13.5" hidden="1"/>
    <row r="7986" ht="13.5" hidden="1"/>
    <row r="7987" ht="13.5" hidden="1"/>
    <row r="7988" ht="13.5" hidden="1"/>
    <row r="7989" ht="13.5" hidden="1"/>
    <row r="7990" ht="13.5" hidden="1"/>
    <row r="7991" ht="13.5" hidden="1"/>
    <row r="7992" ht="13.5" hidden="1"/>
    <row r="7993" ht="13.5" hidden="1"/>
    <row r="7994" ht="13.5" hidden="1"/>
    <row r="7995" ht="13.5" hidden="1"/>
    <row r="7996" ht="13.5" hidden="1"/>
    <row r="7997" ht="13.5" hidden="1"/>
    <row r="7998" ht="13.5" hidden="1"/>
    <row r="7999" ht="13.5" hidden="1"/>
    <row r="8000" ht="13.5" hidden="1"/>
    <row r="8001" ht="13.5" hidden="1"/>
    <row r="8002" ht="13.5" hidden="1"/>
    <row r="8003" ht="13.5" hidden="1"/>
    <row r="8004" ht="13.5" hidden="1"/>
    <row r="8005" ht="13.5" hidden="1"/>
    <row r="8006" ht="13.5" hidden="1"/>
    <row r="8007" ht="13.5" hidden="1"/>
    <row r="8008" ht="13.5" hidden="1"/>
    <row r="8009" ht="13.5" hidden="1"/>
    <row r="8010" ht="13.5" hidden="1"/>
    <row r="8011" ht="13.5" hidden="1"/>
    <row r="8012" ht="13.5" hidden="1"/>
    <row r="8013" ht="13.5" hidden="1"/>
    <row r="8014" ht="13.5" hidden="1"/>
    <row r="8015" ht="13.5" hidden="1"/>
    <row r="8016" ht="13.5" hidden="1"/>
    <row r="8017" ht="13.5" hidden="1"/>
    <row r="8018" ht="13.5" hidden="1"/>
    <row r="8019" ht="13.5" hidden="1"/>
    <row r="8020" ht="13.5" hidden="1"/>
    <row r="8021" ht="13.5" hidden="1"/>
    <row r="8022" ht="13.5" hidden="1"/>
    <row r="8023" ht="13.5" hidden="1"/>
    <row r="8024" ht="13.5" hidden="1"/>
    <row r="8025" ht="13.5" hidden="1"/>
    <row r="8026" ht="13.5" hidden="1"/>
    <row r="8027" ht="13.5" hidden="1"/>
    <row r="8028" ht="13.5" hidden="1"/>
    <row r="8029" ht="13.5" hidden="1"/>
    <row r="8030" ht="13.5" hidden="1"/>
    <row r="8031" ht="13.5" hidden="1"/>
    <row r="8032" ht="13.5" hidden="1"/>
    <row r="8033" ht="13.5" hidden="1"/>
    <row r="8034" ht="13.5" hidden="1"/>
    <row r="8035" ht="13.5" hidden="1"/>
    <row r="8036" ht="13.5" hidden="1"/>
    <row r="8037" ht="13.5" hidden="1"/>
    <row r="8038" ht="13.5" hidden="1"/>
    <row r="8039" ht="13.5" hidden="1"/>
    <row r="8040" ht="13.5" hidden="1"/>
    <row r="8041" ht="13.5" hidden="1"/>
    <row r="8042" ht="13.5" hidden="1"/>
    <row r="8043" ht="13.5" hidden="1"/>
    <row r="8044" ht="13.5" hidden="1"/>
    <row r="8045" ht="13.5" hidden="1"/>
    <row r="8046" ht="13.5" hidden="1"/>
    <row r="8047" ht="13.5" hidden="1"/>
    <row r="8048" ht="13.5" hidden="1"/>
    <row r="8049" ht="13.5" hidden="1"/>
    <row r="8050" ht="13.5" hidden="1"/>
    <row r="8051" ht="13.5" hidden="1"/>
    <row r="8052" ht="13.5" hidden="1"/>
    <row r="8053" ht="13.5" hidden="1"/>
    <row r="8054" ht="13.5" hidden="1"/>
    <row r="8055" ht="13.5" hidden="1"/>
    <row r="8056" ht="13.5" hidden="1"/>
    <row r="8057" ht="13.5" hidden="1"/>
    <row r="8058" ht="13.5" hidden="1"/>
    <row r="8059" ht="13.5" hidden="1"/>
    <row r="8060" ht="13.5" hidden="1"/>
    <row r="8061" ht="13.5" hidden="1"/>
    <row r="8062" ht="13.5" hidden="1"/>
    <row r="8063" ht="13.5" hidden="1"/>
    <row r="8064" ht="13.5" hidden="1"/>
    <row r="8065" ht="13.5" hidden="1"/>
    <row r="8066" ht="13.5" hidden="1"/>
    <row r="8067" ht="13.5" hidden="1"/>
    <row r="8068" ht="13.5" hidden="1"/>
    <row r="8069" ht="13.5" hidden="1"/>
    <row r="8070" ht="13.5" hidden="1"/>
    <row r="8071" ht="13.5" hidden="1"/>
    <row r="8072" ht="13.5" hidden="1"/>
    <row r="8073" ht="13.5" hidden="1"/>
    <row r="8074" ht="13.5" hidden="1"/>
    <row r="8075" ht="13.5" hidden="1"/>
    <row r="8076" ht="13.5" hidden="1"/>
    <row r="8077" ht="13.5" hidden="1"/>
    <row r="8078" ht="13.5" hidden="1"/>
    <row r="8079" ht="13.5" hidden="1"/>
    <row r="8080" ht="13.5" hidden="1"/>
    <row r="8081" ht="13.5" hidden="1"/>
    <row r="8082" ht="13.5" hidden="1"/>
    <row r="8083" ht="13.5" hidden="1"/>
    <row r="8084" ht="13.5" hidden="1"/>
    <row r="8085" ht="13.5" hidden="1"/>
    <row r="8086" ht="13.5" hidden="1"/>
    <row r="8087" ht="13.5" hidden="1"/>
    <row r="8088" ht="13.5" hidden="1"/>
    <row r="8089" ht="13.5" hidden="1"/>
    <row r="8090" ht="13.5" hidden="1"/>
    <row r="8091" ht="13.5" hidden="1"/>
    <row r="8092" ht="13.5" hidden="1"/>
    <row r="8093" ht="13.5" hidden="1"/>
    <row r="8094" ht="13.5" hidden="1"/>
    <row r="8095" ht="13.5" hidden="1"/>
    <row r="8096" ht="13.5" hidden="1"/>
    <row r="8097" ht="13.5" hidden="1"/>
    <row r="8098" ht="13.5" hidden="1"/>
    <row r="8099" ht="13.5" hidden="1"/>
    <row r="8100" ht="13.5" hidden="1"/>
    <row r="8101" ht="13.5" hidden="1"/>
    <row r="8102" ht="13.5" hidden="1"/>
    <row r="8103" ht="13.5" hidden="1"/>
    <row r="8104" ht="13.5" hidden="1"/>
    <row r="8105" ht="13.5" hidden="1"/>
    <row r="8106" ht="13.5" hidden="1"/>
    <row r="8107" ht="13.5" hidden="1"/>
    <row r="8108" ht="13.5" hidden="1"/>
    <row r="8109" ht="13.5" hidden="1"/>
    <row r="8110" ht="13.5" hidden="1"/>
    <row r="8111" ht="13.5" hidden="1"/>
    <row r="8112" ht="13.5" hidden="1"/>
    <row r="8113" ht="13.5" hidden="1"/>
    <row r="8114" ht="13.5" hidden="1"/>
    <row r="8115" ht="13.5" hidden="1"/>
    <row r="8116" ht="13.5" hidden="1"/>
    <row r="8117" ht="13.5" hidden="1"/>
    <row r="8118" ht="13.5" hidden="1"/>
    <row r="8119" ht="13.5" hidden="1"/>
    <row r="8120" ht="13.5" hidden="1"/>
    <row r="8121" ht="13.5" hidden="1"/>
    <row r="8122" ht="13.5" hidden="1"/>
    <row r="8123" ht="13.5" hidden="1"/>
    <row r="8124" ht="13.5" hidden="1"/>
    <row r="8125" ht="13.5" hidden="1"/>
    <row r="8126" ht="13.5" hidden="1"/>
    <row r="8127" ht="13.5" hidden="1"/>
    <row r="8128" ht="13.5" hidden="1"/>
    <row r="8129" ht="13.5" hidden="1"/>
    <row r="8130" ht="13.5" hidden="1"/>
    <row r="8131" ht="13.5" hidden="1"/>
    <row r="8132" ht="13.5" hidden="1"/>
    <row r="8133" ht="13.5" hidden="1"/>
    <row r="8134" ht="13.5" hidden="1"/>
    <row r="8135" ht="13.5" hidden="1"/>
    <row r="8136" ht="13.5" hidden="1"/>
    <row r="8137" ht="13.5" hidden="1"/>
    <row r="8138" ht="13.5" hidden="1"/>
    <row r="8139" ht="13.5" hidden="1"/>
    <row r="8140" ht="13.5" hidden="1"/>
    <row r="8141" ht="13.5" hidden="1"/>
    <row r="8142" ht="13.5" hidden="1"/>
    <row r="8143" ht="13.5" hidden="1"/>
    <row r="8144" ht="13.5" hidden="1"/>
    <row r="8145" ht="13.5" hidden="1"/>
    <row r="8146" ht="13.5" hidden="1"/>
    <row r="8147" ht="13.5" hidden="1"/>
    <row r="8148" ht="13.5" hidden="1"/>
    <row r="8149" ht="13.5" hidden="1"/>
    <row r="8150" ht="13.5" hidden="1"/>
    <row r="8151" ht="13.5" hidden="1"/>
    <row r="8152" ht="13.5" hidden="1"/>
    <row r="8153" ht="13.5" hidden="1"/>
    <row r="8154" ht="13.5" hidden="1"/>
    <row r="8155" ht="13.5" hidden="1"/>
    <row r="8156" ht="13.5" hidden="1"/>
    <row r="8157" ht="13.5" hidden="1"/>
    <row r="8158" ht="13.5" hidden="1"/>
    <row r="8159" ht="13.5" hidden="1"/>
    <row r="8160" ht="13.5" hidden="1"/>
    <row r="8161" ht="13.5" hidden="1"/>
    <row r="8162" ht="13.5" hidden="1"/>
    <row r="8163" ht="13.5" hidden="1"/>
    <row r="8164" ht="13.5" hidden="1"/>
    <row r="8165" ht="13.5" hidden="1"/>
    <row r="8166" ht="13.5" hidden="1"/>
    <row r="8167" ht="13.5" hidden="1"/>
    <row r="8168" ht="13.5" hidden="1"/>
    <row r="8169" ht="13.5" hidden="1"/>
    <row r="8170" ht="13.5" hidden="1"/>
    <row r="8171" ht="13.5" hidden="1"/>
    <row r="8172" ht="13.5" hidden="1"/>
    <row r="8173" ht="13.5" hidden="1"/>
    <row r="8174" ht="13.5" hidden="1"/>
    <row r="8175" ht="13.5" hidden="1"/>
    <row r="8176" ht="13.5" hidden="1"/>
    <row r="8177" ht="13.5" hidden="1"/>
    <row r="8178" ht="13.5" hidden="1"/>
    <row r="8179" ht="13.5" hidden="1"/>
    <row r="8180" ht="13.5" hidden="1"/>
    <row r="8181" ht="13.5" hidden="1"/>
    <row r="8182" ht="13.5" hidden="1"/>
    <row r="8183" ht="13.5" hidden="1"/>
    <row r="8184" ht="13.5" hidden="1"/>
    <row r="8185" ht="13.5" hidden="1"/>
    <row r="8186" ht="13.5" hidden="1"/>
    <row r="8187" ht="13.5" hidden="1"/>
    <row r="8188" ht="13.5" hidden="1"/>
    <row r="8189" ht="13.5" hidden="1"/>
    <row r="8190" ht="13.5" hidden="1"/>
    <row r="8191" ht="13.5" hidden="1"/>
    <row r="8192" ht="13.5" hidden="1"/>
    <row r="8193" ht="13.5" hidden="1"/>
    <row r="8194" ht="13.5" hidden="1"/>
    <row r="8195" ht="13.5" hidden="1"/>
    <row r="8196" ht="13.5" hidden="1"/>
    <row r="8197" ht="13.5" hidden="1"/>
    <row r="8198" ht="13.5" hidden="1"/>
    <row r="8199" ht="13.5" hidden="1"/>
    <row r="8200" ht="13.5" hidden="1"/>
    <row r="8201" ht="13.5" hidden="1"/>
    <row r="8202" ht="13.5" hidden="1"/>
    <row r="8203" ht="13.5" hidden="1"/>
    <row r="8204" ht="13.5" hidden="1"/>
    <row r="8205" ht="13.5" hidden="1"/>
    <row r="8206" ht="13.5" hidden="1"/>
    <row r="8207" ht="13.5" hidden="1"/>
    <row r="8208" ht="13.5" hidden="1"/>
    <row r="8209" ht="13.5" hidden="1"/>
    <row r="8210" ht="13.5" hidden="1"/>
    <row r="8211" ht="13.5" hidden="1"/>
    <row r="8212" ht="13.5" hidden="1"/>
    <row r="8213" ht="13.5" hidden="1"/>
    <row r="8214" ht="13.5" hidden="1"/>
    <row r="8215" ht="13.5" hidden="1"/>
    <row r="8216" ht="13.5" hidden="1"/>
    <row r="8217" ht="13.5" hidden="1"/>
    <row r="8218" ht="13.5" hidden="1"/>
    <row r="8219" ht="13.5" hidden="1"/>
    <row r="8220" ht="13.5" hidden="1"/>
    <row r="8221" ht="13.5" hidden="1"/>
    <row r="8222" ht="13.5" hidden="1"/>
    <row r="8223" ht="13.5" hidden="1"/>
    <row r="8224" ht="13.5" hidden="1"/>
    <row r="8225" ht="13.5" hidden="1"/>
    <row r="8226" ht="13.5" hidden="1"/>
    <row r="8227" ht="13.5" hidden="1"/>
    <row r="8228" ht="13.5" hidden="1"/>
    <row r="8229" ht="13.5" hidden="1"/>
    <row r="8230" ht="13.5" hidden="1"/>
    <row r="8231" ht="13.5" hidden="1"/>
    <row r="8232" ht="13.5" hidden="1"/>
    <row r="8233" ht="13.5" hidden="1"/>
    <row r="8234" ht="13.5" hidden="1"/>
    <row r="8235" ht="13.5" hidden="1"/>
    <row r="8236" ht="13.5" hidden="1"/>
    <row r="8237" ht="13.5" hidden="1"/>
    <row r="8238" ht="13.5" hidden="1"/>
    <row r="8239" ht="13.5" hidden="1"/>
    <row r="8240" ht="13.5" hidden="1"/>
    <row r="8241" ht="13.5" hidden="1"/>
    <row r="8242" ht="13.5" hidden="1"/>
    <row r="8243" ht="13.5" hidden="1"/>
    <row r="8244" ht="13.5" hidden="1"/>
    <row r="8245" ht="13.5" hidden="1"/>
    <row r="8246" ht="13.5" hidden="1"/>
    <row r="8247" ht="13.5" hidden="1"/>
    <row r="8248" ht="13.5" hidden="1"/>
    <row r="8249" ht="13.5" hidden="1"/>
    <row r="8250" ht="13.5" hidden="1"/>
    <row r="8251" ht="13.5" hidden="1"/>
    <row r="8252" ht="13.5" hidden="1"/>
    <row r="8253" ht="13.5" hidden="1"/>
    <row r="8254" ht="13.5" hidden="1"/>
    <row r="8255" ht="13.5" hidden="1"/>
    <row r="8256" ht="13.5" hidden="1"/>
    <row r="8257" ht="13.5" hidden="1"/>
    <row r="8258" ht="13.5" hidden="1"/>
    <row r="8259" ht="13.5" hidden="1"/>
    <row r="8260" ht="13.5" hidden="1"/>
    <row r="8261" ht="13.5" hidden="1"/>
    <row r="8262" ht="13.5" hidden="1"/>
    <row r="8263" ht="13.5" hidden="1"/>
    <row r="8264" ht="13.5" hidden="1"/>
    <row r="8265" ht="13.5" hidden="1"/>
    <row r="8266" ht="13.5" hidden="1"/>
    <row r="8267" ht="13.5" hidden="1"/>
    <row r="8268" ht="13.5" hidden="1"/>
    <row r="8269" ht="13.5" hidden="1"/>
    <row r="8270" ht="13.5" hidden="1"/>
    <row r="8271" ht="13.5" hidden="1"/>
    <row r="8272" ht="13.5" hidden="1"/>
    <row r="8273" ht="13.5" hidden="1"/>
    <row r="8274" ht="13.5" hidden="1"/>
    <row r="8275" ht="13.5" hidden="1"/>
    <row r="8276" ht="13.5" hidden="1"/>
    <row r="8277" ht="13.5" hidden="1"/>
    <row r="8278" ht="13.5" hidden="1"/>
    <row r="8279" ht="13.5" hidden="1"/>
    <row r="8280" ht="13.5" hidden="1"/>
    <row r="8281" ht="13.5" hidden="1"/>
    <row r="8282" ht="13.5" hidden="1"/>
    <row r="8283" ht="13.5" hidden="1"/>
    <row r="8284" ht="13.5" hidden="1"/>
    <row r="8285" ht="13.5" hidden="1"/>
    <row r="8286" ht="13.5" hidden="1"/>
    <row r="8287" ht="13.5" hidden="1"/>
    <row r="8288" ht="13.5" hidden="1"/>
    <row r="8289" ht="13.5" hidden="1"/>
    <row r="8290" ht="13.5" hidden="1"/>
    <row r="8291" ht="13.5" hidden="1"/>
    <row r="8292" ht="13.5" hidden="1"/>
    <row r="8293" ht="13.5" hidden="1"/>
    <row r="8294" ht="13.5" hidden="1"/>
    <row r="8295" ht="13.5" hidden="1"/>
    <row r="8296" ht="13.5" hidden="1"/>
    <row r="8297" ht="13.5" hidden="1"/>
    <row r="8298" ht="13.5" hidden="1"/>
    <row r="8299" ht="13.5" hidden="1"/>
    <row r="8300" ht="13.5" hidden="1"/>
    <row r="8301" ht="13.5" hidden="1"/>
    <row r="8302" ht="13.5" hidden="1"/>
    <row r="8303" ht="13.5" hidden="1"/>
    <row r="8304" ht="13.5" hidden="1"/>
    <row r="8305" ht="13.5" hidden="1"/>
    <row r="8306" ht="13.5" hidden="1"/>
    <row r="8307" ht="13.5" hidden="1"/>
    <row r="8308" ht="13.5" hidden="1"/>
    <row r="8309" ht="13.5" hidden="1"/>
    <row r="8310" ht="13.5" hidden="1"/>
    <row r="8311" ht="13.5" hidden="1"/>
    <row r="8312" ht="13.5" hidden="1"/>
    <row r="8313" ht="13.5" hidden="1"/>
    <row r="8314" ht="13.5" hidden="1"/>
    <row r="8315" ht="13.5" hidden="1"/>
    <row r="8316" ht="13.5" hidden="1"/>
    <row r="8317" ht="13.5" hidden="1"/>
    <row r="8318" ht="13.5" hidden="1"/>
    <row r="8319" ht="13.5" hidden="1"/>
    <row r="8320" ht="13.5" hidden="1"/>
    <row r="8321" ht="13.5" hidden="1"/>
    <row r="8322" ht="13.5" hidden="1"/>
    <row r="8323" ht="13.5" hidden="1"/>
    <row r="8324" ht="13.5" hidden="1"/>
    <row r="8325" ht="13.5" hidden="1"/>
    <row r="8326" ht="13.5" hidden="1"/>
    <row r="8327" ht="13.5" hidden="1"/>
    <row r="8328" ht="13.5" hidden="1"/>
    <row r="8329" ht="13.5" hidden="1"/>
    <row r="8330" ht="13.5" hidden="1"/>
    <row r="8331" ht="13.5" hidden="1"/>
    <row r="8332" ht="13.5" hidden="1"/>
    <row r="8333" ht="13.5" hidden="1"/>
    <row r="8334" ht="13.5" hidden="1"/>
    <row r="8335" ht="13.5" hidden="1"/>
    <row r="8336" ht="13.5" hidden="1"/>
    <row r="8337" ht="13.5" hidden="1"/>
    <row r="8338" ht="13.5" hidden="1"/>
    <row r="8339" ht="13.5" hidden="1"/>
    <row r="8340" ht="13.5" hidden="1"/>
    <row r="8341" ht="13.5" hidden="1"/>
    <row r="8342" ht="13.5" hidden="1"/>
    <row r="8343" ht="13.5" hidden="1"/>
    <row r="8344" ht="13.5" hidden="1"/>
    <row r="8345" ht="13.5" hidden="1"/>
    <row r="8346" ht="13.5" hidden="1"/>
    <row r="8347" ht="13.5" hidden="1"/>
    <row r="8348" ht="13.5" hidden="1"/>
    <row r="8349" ht="13.5" hidden="1"/>
    <row r="8350" ht="13.5" hidden="1"/>
    <row r="8351" ht="13.5" hidden="1"/>
    <row r="8352" ht="13.5" hidden="1"/>
    <row r="8353" ht="13.5" hidden="1"/>
    <row r="8354" ht="13.5" hidden="1"/>
    <row r="8355" ht="13.5" hidden="1"/>
    <row r="8356" ht="13.5" hidden="1"/>
    <row r="8357" ht="13.5" hidden="1"/>
    <row r="8358" ht="13.5" hidden="1"/>
    <row r="8359" ht="13.5" hidden="1"/>
    <row r="8360" ht="13.5" hidden="1"/>
    <row r="8361" ht="13.5" hidden="1"/>
    <row r="8362" ht="13.5" hidden="1"/>
    <row r="8363" ht="13.5" hidden="1"/>
    <row r="8364" ht="13.5" hidden="1"/>
    <row r="8365" ht="13.5" hidden="1"/>
    <row r="8366" ht="13.5" hidden="1"/>
    <row r="8367" ht="13.5" hidden="1"/>
    <row r="8368" ht="13.5" hidden="1"/>
    <row r="8369" ht="13.5" hidden="1"/>
    <row r="8370" ht="13.5" hidden="1"/>
    <row r="8371" ht="13.5" hidden="1"/>
    <row r="8372" ht="13.5" hidden="1"/>
    <row r="8373" ht="13.5" hidden="1"/>
    <row r="8374" ht="13.5" hidden="1"/>
    <row r="8375" ht="13.5" hidden="1"/>
    <row r="8376" ht="13.5" hidden="1"/>
    <row r="8377" ht="13.5" hidden="1"/>
    <row r="8378" ht="13.5" hidden="1"/>
    <row r="8379" ht="13.5" hidden="1"/>
    <row r="8380" ht="13.5" hidden="1"/>
    <row r="8381" ht="13.5" hidden="1"/>
    <row r="8382" ht="13.5" hidden="1"/>
    <row r="8383" ht="13.5" hidden="1"/>
    <row r="8384" ht="13.5" hidden="1"/>
    <row r="8385" ht="13.5" hidden="1"/>
    <row r="8386" ht="13.5" hidden="1"/>
    <row r="8387" ht="13.5" hidden="1"/>
    <row r="8388" ht="13.5" hidden="1"/>
    <row r="8389" ht="13.5" hidden="1"/>
    <row r="8390" ht="13.5" hidden="1"/>
    <row r="8391" ht="13.5" hidden="1"/>
    <row r="8392" ht="13.5" hidden="1"/>
    <row r="8393" ht="13.5" hidden="1"/>
    <row r="8394" ht="13.5" hidden="1"/>
    <row r="8395" ht="13.5" hidden="1"/>
    <row r="8396" ht="13.5" hidden="1"/>
    <row r="8397" ht="13.5" hidden="1"/>
    <row r="8398" ht="13.5" hidden="1"/>
    <row r="8399" ht="13.5" hidden="1"/>
    <row r="8400" ht="13.5" hidden="1"/>
    <row r="8401" ht="13.5" hidden="1"/>
    <row r="8402" ht="13.5" hidden="1"/>
    <row r="8403" ht="13.5" hidden="1"/>
    <row r="8404" ht="13.5" hidden="1"/>
    <row r="8405" ht="13.5" hidden="1"/>
    <row r="8406" ht="13.5" hidden="1"/>
    <row r="8407" ht="13.5" hidden="1"/>
    <row r="8408" ht="13.5" hidden="1"/>
    <row r="8409" ht="13.5" hidden="1"/>
    <row r="8410" ht="13.5" hidden="1"/>
    <row r="8411" ht="13.5" hidden="1"/>
    <row r="8412" ht="13.5" hidden="1"/>
    <row r="8413" ht="13.5" hidden="1"/>
    <row r="8414" ht="13.5" hidden="1"/>
    <row r="8415" ht="13.5" hidden="1"/>
    <row r="8416" ht="13.5" hidden="1"/>
    <row r="8417" ht="13.5" hidden="1"/>
    <row r="8418" ht="13.5" hidden="1"/>
    <row r="8419" ht="13.5" hidden="1"/>
    <row r="8420" ht="13.5" hidden="1"/>
    <row r="8421" ht="13.5" hidden="1"/>
    <row r="8422" ht="13.5" hidden="1"/>
    <row r="8423" ht="13.5" hidden="1"/>
    <row r="8424" ht="13.5" hidden="1"/>
    <row r="8425" ht="13.5" hidden="1"/>
    <row r="8426" ht="13.5" hidden="1"/>
    <row r="8427" ht="13.5" hidden="1"/>
    <row r="8428" ht="13.5" hidden="1"/>
    <row r="8429" ht="13.5" hidden="1"/>
    <row r="8430" ht="13.5" hidden="1"/>
    <row r="8431" ht="13.5" hidden="1"/>
    <row r="8432" ht="13.5" hidden="1"/>
    <row r="8433" ht="13.5" hidden="1"/>
    <row r="8434" ht="13.5" hidden="1"/>
    <row r="8435" ht="13.5" hidden="1"/>
    <row r="8436" ht="13.5" hidden="1"/>
    <row r="8437" ht="13.5" hidden="1"/>
    <row r="8438" ht="13.5" hidden="1"/>
    <row r="8439" ht="13.5" hidden="1"/>
    <row r="8440" ht="13.5" hidden="1"/>
    <row r="8441" ht="13.5" hidden="1"/>
    <row r="8442" ht="13.5" hidden="1"/>
    <row r="8443" ht="13.5" hidden="1"/>
    <row r="8444" ht="13.5" hidden="1"/>
    <row r="8445" ht="13.5" hidden="1"/>
    <row r="8446" ht="13.5" hidden="1"/>
    <row r="8447" ht="13.5" hidden="1"/>
    <row r="8448" ht="13.5" hidden="1"/>
    <row r="8449" ht="13.5" hidden="1"/>
    <row r="8450" ht="13.5" hidden="1"/>
    <row r="8451" ht="13.5" hidden="1"/>
    <row r="8452" ht="13.5" hidden="1"/>
    <row r="8453" ht="13.5" hidden="1"/>
    <row r="8454" ht="13.5" hidden="1"/>
    <row r="8455" ht="13.5" hidden="1"/>
    <row r="8456" ht="13.5" hidden="1"/>
    <row r="8457" ht="13.5" hidden="1"/>
    <row r="8458" ht="13.5" hidden="1"/>
    <row r="8459" ht="13.5" hidden="1"/>
    <row r="8460" ht="13.5" hidden="1"/>
    <row r="8461" ht="13.5" hidden="1"/>
    <row r="8462" ht="13.5" hidden="1"/>
    <row r="8463" ht="13.5" hidden="1"/>
    <row r="8464" ht="13.5" hidden="1"/>
    <row r="8465" ht="13.5" hidden="1"/>
    <row r="8466" ht="13.5" hidden="1"/>
    <row r="8467" ht="13.5" hidden="1"/>
    <row r="8468" ht="13.5" hidden="1"/>
    <row r="8469" ht="13.5" hidden="1"/>
    <row r="8470" ht="13.5" hidden="1"/>
    <row r="8471" ht="13.5" hidden="1"/>
    <row r="8472" ht="13.5" hidden="1"/>
    <row r="8473" ht="13.5" hidden="1"/>
    <row r="8474" ht="13.5" hidden="1"/>
    <row r="8475" ht="13.5" hidden="1"/>
    <row r="8476" ht="13.5" hidden="1"/>
    <row r="8477" ht="13.5" hidden="1"/>
    <row r="8478" ht="13.5" hidden="1"/>
    <row r="8479" ht="13.5" hidden="1"/>
    <row r="8480" ht="13.5" hidden="1"/>
    <row r="8481" ht="13.5" hidden="1"/>
    <row r="8482" ht="13.5" hidden="1"/>
    <row r="8483" ht="13.5" hidden="1"/>
    <row r="8484" ht="13.5" hidden="1"/>
    <row r="8485" ht="13.5" hidden="1"/>
    <row r="8486" ht="13.5" hidden="1"/>
    <row r="8487" ht="13.5" hidden="1"/>
    <row r="8488" ht="13.5" hidden="1"/>
    <row r="8489" ht="13.5" hidden="1"/>
    <row r="8490" ht="13.5" hidden="1"/>
    <row r="8491" ht="13.5" hidden="1"/>
    <row r="8492" ht="13.5" hidden="1"/>
    <row r="8493" ht="13.5" hidden="1"/>
    <row r="8494" ht="13.5" hidden="1"/>
    <row r="8495" ht="13.5" hidden="1"/>
    <row r="8496" ht="13.5" hidden="1"/>
    <row r="8497" ht="13.5" hidden="1"/>
    <row r="8498" ht="13.5" hidden="1"/>
    <row r="8499" ht="13.5" hidden="1"/>
    <row r="8500" ht="13.5" hidden="1"/>
    <row r="8501" ht="13.5" hidden="1"/>
    <row r="8502" ht="13.5" hidden="1"/>
    <row r="8503" ht="13.5" hidden="1"/>
    <row r="8504" ht="13.5" hidden="1"/>
    <row r="8505" ht="13.5" hidden="1"/>
    <row r="8506" ht="13.5" hidden="1"/>
    <row r="8507" ht="13.5" hidden="1"/>
    <row r="8508" ht="13.5" hidden="1"/>
    <row r="8509" ht="13.5" hidden="1"/>
    <row r="8510" ht="13.5" hidden="1"/>
    <row r="8511" ht="13.5" hidden="1"/>
    <row r="8512" ht="13.5" hidden="1"/>
    <row r="8513" ht="13.5" hidden="1"/>
    <row r="8514" ht="13.5" hidden="1"/>
    <row r="8515" ht="13.5" hidden="1"/>
    <row r="8516" ht="13.5" hidden="1"/>
    <row r="8517" ht="13.5" hidden="1"/>
    <row r="8518" ht="13.5" hidden="1"/>
    <row r="8519" ht="13.5" hidden="1"/>
    <row r="8520" ht="13.5" hidden="1"/>
    <row r="8521" ht="13.5" hidden="1"/>
    <row r="8522" ht="13.5" hidden="1"/>
    <row r="8523" ht="13.5" hidden="1"/>
    <row r="8524" ht="13.5" hidden="1"/>
    <row r="8525" ht="13.5" hidden="1"/>
    <row r="8526" ht="13.5" hidden="1"/>
    <row r="8527" ht="13.5" hidden="1"/>
    <row r="8528" ht="13.5" hidden="1"/>
    <row r="8529" ht="13.5" hidden="1"/>
    <row r="8530" ht="13.5" hidden="1"/>
    <row r="8531" ht="13.5" hidden="1"/>
    <row r="8532" ht="13.5" hidden="1"/>
    <row r="8533" ht="13.5" hidden="1"/>
    <row r="8534" ht="13.5" hidden="1"/>
    <row r="8535" ht="13.5" hidden="1"/>
    <row r="8536" ht="13.5" hidden="1"/>
    <row r="8537" ht="13.5" hidden="1"/>
    <row r="8538" ht="13.5" hidden="1"/>
    <row r="8539" ht="13.5" hidden="1"/>
    <row r="8540" ht="13.5" hidden="1"/>
    <row r="8541" ht="13.5" hidden="1"/>
    <row r="8542" ht="13.5" hidden="1"/>
    <row r="8543" ht="13.5" hidden="1"/>
    <row r="8544" ht="13.5" hidden="1"/>
    <row r="8545" ht="13.5" hidden="1"/>
    <row r="8546" ht="13.5" hidden="1"/>
    <row r="8547" ht="13.5" hidden="1"/>
    <row r="8548" ht="13.5" hidden="1"/>
    <row r="8549" ht="13.5" hidden="1"/>
    <row r="8550" ht="13.5" hidden="1"/>
    <row r="8551" ht="13.5" hidden="1"/>
    <row r="8552" ht="13.5" hidden="1"/>
    <row r="8553" ht="13.5" hidden="1"/>
    <row r="8554" ht="13.5" hidden="1"/>
    <row r="8555" ht="13.5" hidden="1"/>
    <row r="8556" ht="13.5" hidden="1"/>
    <row r="8557" ht="13.5" hidden="1"/>
    <row r="8558" ht="13.5" hidden="1"/>
    <row r="8559" ht="13.5" hidden="1"/>
    <row r="8560" ht="13.5" hidden="1"/>
    <row r="8561" ht="13.5" hidden="1"/>
    <row r="8562" ht="13.5" hidden="1"/>
    <row r="8563" ht="13.5" hidden="1"/>
    <row r="8564" ht="13.5" hidden="1"/>
    <row r="8565" ht="13.5" hidden="1"/>
    <row r="8566" ht="13.5" hidden="1"/>
    <row r="8567" ht="13.5" hidden="1"/>
    <row r="8568" ht="13.5" hidden="1"/>
    <row r="8569" ht="13.5" hidden="1"/>
    <row r="8570" ht="13.5" hidden="1"/>
    <row r="8571" ht="13.5" hidden="1"/>
    <row r="8572" ht="13.5" hidden="1"/>
    <row r="8573" ht="13.5" hidden="1"/>
    <row r="8574" ht="13.5" hidden="1"/>
    <row r="8575" ht="13.5" hidden="1"/>
    <row r="8576" ht="13.5" hidden="1"/>
    <row r="8577" ht="13.5" hidden="1"/>
    <row r="8578" ht="13.5" hidden="1"/>
    <row r="8579" ht="13.5" hidden="1"/>
    <row r="8580" ht="13.5" hidden="1"/>
    <row r="8581" ht="13.5" hidden="1"/>
    <row r="8582" ht="13.5" hidden="1"/>
    <row r="8583" ht="13.5" hidden="1"/>
    <row r="8584" ht="13.5" hidden="1"/>
    <row r="8585" ht="13.5" hidden="1"/>
    <row r="8586" ht="13.5" hidden="1"/>
    <row r="8587" ht="13.5" hidden="1"/>
    <row r="8588" ht="13.5" hidden="1"/>
    <row r="8589" ht="13.5" hidden="1"/>
    <row r="8590" ht="13.5" hidden="1"/>
    <row r="8591" ht="13.5" hidden="1"/>
    <row r="8592" ht="13.5" hidden="1"/>
    <row r="8593" ht="13.5" hidden="1"/>
    <row r="8594" ht="13.5" hidden="1"/>
    <row r="8595" ht="13.5" hidden="1"/>
    <row r="8596" ht="13.5" hidden="1"/>
    <row r="8597" ht="13.5" hidden="1"/>
    <row r="8598" ht="13.5" hidden="1"/>
    <row r="8599" ht="13.5" hidden="1"/>
    <row r="8600" ht="13.5" hidden="1"/>
    <row r="8601" ht="13.5" hidden="1"/>
    <row r="8602" ht="13.5" hidden="1"/>
    <row r="8603" ht="13.5" hidden="1"/>
    <row r="8604" ht="13.5" hidden="1"/>
    <row r="8605" ht="13.5" hidden="1"/>
    <row r="8606" ht="13.5" hidden="1"/>
    <row r="8607" ht="13.5" hidden="1"/>
    <row r="8608" ht="13.5" hidden="1"/>
    <row r="8609" ht="13.5" hidden="1"/>
    <row r="8610" ht="13.5" hidden="1"/>
    <row r="8611" ht="13.5" hidden="1"/>
    <row r="8612" ht="13.5" hidden="1"/>
    <row r="8613" ht="13.5" hidden="1"/>
    <row r="8614" ht="13.5" hidden="1"/>
    <row r="8615" ht="13.5" hidden="1"/>
    <row r="8616" ht="13.5" hidden="1"/>
    <row r="8617" ht="13.5" hidden="1"/>
    <row r="8618" ht="13.5" hidden="1"/>
    <row r="8619" ht="13.5" hidden="1"/>
    <row r="8620" ht="13.5" hidden="1"/>
    <row r="8621" ht="13.5" hidden="1"/>
    <row r="8622" ht="13.5" hidden="1"/>
    <row r="8623" ht="13.5" hidden="1"/>
    <row r="8624" ht="13.5" hidden="1"/>
    <row r="8625" ht="13.5" hidden="1"/>
    <row r="8626" ht="13.5" hidden="1"/>
    <row r="8627" ht="13.5" hidden="1"/>
    <row r="8628" ht="13.5" hidden="1"/>
    <row r="8629" ht="13.5" hidden="1"/>
    <row r="8630" ht="13.5" hidden="1"/>
    <row r="8631" ht="13.5" hidden="1"/>
    <row r="8632" ht="13.5" hidden="1"/>
    <row r="8633" ht="13.5" hidden="1"/>
    <row r="8634" ht="13.5" hidden="1"/>
    <row r="8635" ht="13.5" hidden="1"/>
    <row r="8636" ht="13.5" hidden="1"/>
    <row r="8637" ht="13.5" hidden="1"/>
    <row r="8638" ht="13.5" hidden="1"/>
    <row r="8639" ht="13.5" hidden="1"/>
    <row r="8640" ht="13.5" hidden="1"/>
    <row r="8641" ht="13.5" hidden="1"/>
    <row r="8642" ht="13.5" hidden="1"/>
    <row r="8643" ht="13.5" hidden="1"/>
    <row r="8644" ht="13.5" hidden="1"/>
    <row r="8645" ht="13.5" hidden="1"/>
    <row r="8646" ht="13.5" hidden="1"/>
    <row r="8647" ht="13.5" hidden="1"/>
    <row r="8648" ht="13.5" hidden="1"/>
    <row r="8649" ht="13.5" hidden="1"/>
    <row r="8650" ht="13.5" hidden="1"/>
    <row r="8651" ht="13.5" hidden="1"/>
    <row r="8652" ht="13.5" hidden="1"/>
    <row r="8653" ht="13.5" hidden="1"/>
    <row r="8654" ht="13.5" hidden="1"/>
    <row r="8655" ht="13.5" hidden="1"/>
    <row r="8656" ht="13.5" hidden="1"/>
    <row r="8657" ht="13.5" hidden="1"/>
    <row r="8658" ht="13.5" hidden="1"/>
    <row r="8659" ht="13.5" hidden="1"/>
    <row r="8660" ht="13.5" hidden="1"/>
    <row r="8661" ht="13.5" hidden="1"/>
    <row r="8662" ht="13.5" hidden="1"/>
    <row r="8663" ht="13.5" hidden="1"/>
    <row r="8664" ht="13.5" hidden="1"/>
    <row r="8665" ht="13.5" hidden="1"/>
    <row r="8666" ht="13.5" hidden="1"/>
    <row r="8667" ht="13.5" hidden="1"/>
    <row r="8668" ht="13.5" hidden="1"/>
    <row r="8669" ht="13.5" hidden="1"/>
    <row r="8670" ht="13.5" hidden="1"/>
    <row r="8671" ht="13.5" hidden="1"/>
    <row r="8672" ht="13.5" hidden="1"/>
    <row r="8673" ht="13.5" hidden="1"/>
    <row r="8674" ht="13.5" hidden="1"/>
    <row r="8675" ht="13.5" hidden="1"/>
    <row r="8676" ht="13.5" hidden="1"/>
    <row r="8677" ht="13.5" hidden="1"/>
    <row r="8678" ht="13.5" hidden="1"/>
    <row r="8679" ht="13.5" hidden="1"/>
    <row r="8680" ht="13.5" hidden="1"/>
    <row r="8681" ht="13.5" hidden="1"/>
    <row r="8682" ht="13.5" hidden="1"/>
    <row r="8683" ht="13.5" hidden="1"/>
    <row r="8684" ht="13.5" hidden="1"/>
    <row r="8685" ht="13.5" hidden="1"/>
    <row r="8686" ht="13.5" hidden="1"/>
    <row r="8687" ht="13.5" hidden="1"/>
    <row r="8688" ht="13.5" hidden="1"/>
    <row r="8689" ht="13.5" hidden="1"/>
    <row r="8690" ht="13.5" hidden="1"/>
    <row r="8691" ht="13.5" hidden="1"/>
    <row r="8692" ht="13.5" hidden="1"/>
    <row r="8693" ht="13.5" hidden="1"/>
    <row r="8694" ht="13.5" hidden="1"/>
    <row r="8695" ht="13.5" hidden="1"/>
    <row r="8696" ht="13.5" hidden="1"/>
    <row r="8697" ht="13.5" hidden="1"/>
    <row r="8698" ht="13.5" hidden="1"/>
    <row r="8699" ht="13.5" hidden="1"/>
    <row r="8700" ht="13.5" hidden="1"/>
    <row r="8701" ht="13.5" hidden="1"/>
    <row r="8702" ht="13.5" hidden="1"/>
    <row r="8703" ht="13.5" hidden="1"/>
    <row r="8704" ht="13.5" hidden="1"/>
    <row r="8705" ht="13.5" hidden="1"/>
    <row r="8706" ht="13.5" hidden="1"/>
    <row r="8707" ht="13.5" hidden="1"/>
    <row r="8708" ht="13.5" hidden="1"/>
    <row r="8709" ht="13.5" hidden="1"/>
    <row r="8710" ht="13.5" hidden="1"/>
    <row r="8711" ht="13.5" hidden="1"/>
    <row r="8712" ht="13.5" hidden="1"/>
    <row r="8713" ht="13.5" hidden="1"/>
    <row r="8714" ht="13.5" hidden="1"/>
    <row r="8715" ht="13.5" hidden="1"/>
    <row r="8716" ht="13.5" hidden="1"/>
    <row r="8717" ht="13.5" hidden="1"/>
    <row r="8718" ht="13.5" hidden="1"/>
    <row r="8719" ht="13.5" hidden="1"/>
    <row r="8720" ht="13.5" hidden="1"/>
    <row r="8721" ht="13.5" hidden="1"/>
    <row r="8722" ht="13.5" hidden="1"/>
    <row r="8723" ht="13.5" hidden="1"/>
    <row r="8724" ht="13.5" hidden="1"/>
    <row r="8725" ht="13.5" hidden="1"/>
    <row r="8726" ht="13.5" hidden="1"/>
    <row r="8727" ht="13.5" hidden="1"/>
    <row r="8728" ht="13.5" hidden="1"/>
    <row r="8729" ht="13.5" hidden="1"/>
    <row r="8730" ht="13.5" hidden="1"/>
    <row r="8731" ht="13.5" hidden="1"/>
    <row r="8732" ht="13.5" hidden="1"/>
    <row r="8733" ht="13.5" hidden="1"/>
    <row r="8734" ht="13.5" hidden="1"/>
    <row r="8735" ht="13.5" hidden="1"/>
    <row r="8736" ht="13.5" hidden="1"/>
    <row r="8737" ht="13.5" hidden="1"/>
    <row r="8738" ht="13.5" hidden="1"/>
    <row r="8739" ht="13.5" hidden="1"/>
    <row r="8740" ht="13.5" hidden="1"/>
    <row r="8741" ht="13.5" hidden="1"/>
    <row r="8742" ht="13.5" hidden="1"/>
    <row r="8743" ht="13.5" hidden="1"/>
    <row r="8744" ht="13.5" hidden="1"/>
    <row r="8745" ht="13.5" hidden="1"/>
    <row r="8746" ht="13.5" hidden="1"/>
    <row r="8747" ht="13.5" hidden="1"/>
    <row r="8748" ht="13.5" hidden="1"/>
    <row r="8749" ht="13.5" hidden="1"/>
    <row r="8750" ht="13.5" hidden="1"/>
    <row r="8751" ht="13.5" hidden="1"/>
    <row r="8752" ht="13.5" hidden="1"/>
    <row r="8753" ht="13.5" hidden="1"/>
    <row r="8754" ht="13.5" hidden="1"/>
    <row r="8755" ht="13.5" hidden="1"/>
    <row r="8756" ht="13.5" hidden="1"/>
    <row r="8757" ht="13.5" hidden="1"/>
    <row r="8758" ht="13.5" hidden="1"/>
    <row r="8759" ht="13.5" hidden="1"/>
    <row r="8760" ht="13.5" hidden="1"/>
    <row r="8761" ht="13.5" hidden="1"/>
    <row r="8762" ht="13.5" hidden="1"/>
    <row r="8763" ht="13.5" hidden="1"/>
    <row r="8764" ht="13.5" hidden="1"/>
    <row r="8765" ht="13.5" hidden="1"/>
    <row r="8766" ht="13.5" hidden="1"/>
    <row r="8767" ht="13.5" hidden="1"/>
    <row r="8768" ht="13.5" hidden="1"/>
    <row r="8769" ht="13.5" hidden="1"/>
    <row r="8770" ht="13.5" hidden="1"/>
    <row r="8771" ht="13.5" hidden="1"/>
    <row r="8772" ht="13.5" hidden="1"/>
    <row r="8773" ht="13.5" hidden="1"/>
    <row r="8774" ht="13.5" hidden="1"/>
    <row r="8775" ht="13.5" hidden="1"/>
    <row r="8776" ht="13.5" hidden="1"/>
    <row r="8777" ht="13.5" hidden="1"/>
    <row r="8778" ht="13.5" hidden="1"/>
    <row r="8779" ht="13.5" hidden="1"/>
    <row r="8780" ht="13.5" hidden="1"/>
    <row r="8781" ht="13.5" hidden="1"/>
    <row r="8782" ht="13.5" hidden="1"/>
    <row r="8783" ht="13.5" hidden="1"/>
    <row r="8784" ht="13.5" hidden="1"/>
    <row r="8785" ht="13.5" hidden="1"/>
    <row r="8786" ht="13.5" hidden="1"/>
    <row r="8787" ht="13.5" hidden="1"/>
    <row r="8788" ht="13.5" hidden="1"/>
    <row r="8789" ht="13.5" hidden="1"/>
    <row r="8790" ht="13.5" hidden="1"/>
    <row r="8791" ht="13.5" hidden="1"/>
    <row r="8792" ht="13.5" hidden="1"/>
    <row r="8793" ht="13.5" hidden="1"/>
    <row r="8794" ht="13.5" hidden="1"/>
    <row r="8795" ht="13.5" hidden="1"/>
    <row r="8796" ht="13.5" hidden="1"/>
    <row r="8797" ht="13.5" hidden="1"/>
    <row r="8798" ht="13.5" hidden="1"/>
    <row r="8799" ht="13.5" hidden="1"/>
    <row r="8800" ht="13.5" hidden="1"/>
    <row r="8801" ht="13.5" hidden="1"/>
    <row r="8802" ht="13.5" hidden="1"/>
    <row r="8803" ht="13.5" hidden="1"/>
    <row r="8804" ht="13.5" hidden="1"/>
    <row r="8805" ht="13.5" hidden="1"/>
    <row r="8806" ht="13.5" hidden="1"/>
    <row r="8807" ht="13.5" hidden="1"/>
    <row r="8808" ht="13.5" hidden="1"/>
    <row r="8809" ht="13.5" hidden="1"/>
    <row r="8810" ht="13.5" hidden="1"/>
    <row r="8811" ht="13.5" hidden="1"/>
    <row r="8812" ht="13.5" hidden="1"/>
    <row r="8813" ht="13.5" hidden="1"/>
    <row r="8814" ht="13.5" hidden="1"/>
    <row r="8815" ht="13.5" hidden="1"/>
    <row r="8816" ht="13.5" hidden="1"/>
    <row r="8817" ht="13.5" hidden="1"/>
    <row r="8818" ht="13.5" hidden="1"/>
    <row r="8819" ht="13.5" hidden="1"/>
    <row r="8820" ht="13.5" hidden="1"/>
    <row r="8821" ht="13.5" hidden="1"/>
    <row r="8822" ht="13.5" hidden="1"/>
    <row r="8823" ht="13.5" hidden="1"/>
    <row r="8824" ht="13.5" hidden="1"/>
    <row r="8825" ht="13.5" hidden="1"/>
    <row r="8826" ht="13.5" hidden="1"/>
    <row r="8827" ht="13.5" hidden="1"/>
    <row r="8828" ht="13.5" hidden="1"/>
    <row r="8829" ht="13.5" hidden="1"/>
    <row r="8830" ht="13.5" hidden="1"/>
    <row r="8831" ht="13.5" hidden="1"/>
    <row r="8832" ht="13.5" hidden="1"/>
    <row r="8833" ht="13.5" hidden="1"/>
    <row r="8834" ht="13.5" hidden="1"/>
    <row r="8835" ht="13.5" hidden="1"/>
    <row r="8836" ht="13.5" hidden="1"/>
    <row r="8837" ht="13.5" hidden="1"/>
    <row r="8838" ht="13.5" hidden="1"/>
    <row r="8839" ht="13.5" hidden="1"/>
    <row r="8840" ht="13.5" hidden="1"/>
    <row r="8841" ht="13.5" hidden="1"/>
    <row r="8842" ht="13.5" hidden="1"/>
    <row r="8843" ht="13.5" hidden="1"/>
    <row r="8844" ht="13.5" hidden="1"/>
    <row r="8845" ht="13.5" hidden="1"/>
    <row r="8846" ht="13.5" hidden="1"/>
    <row r="8847" ht="13.5" hidden="1"/>
    <row r="8848" ht="13.5" hidden="1"/>
    <row r="8849" ht="13.5" hidden="1"/>
    <row r="8850" ht="13.5" hidden="1"/>
    <row r="8851" ht="13.5" hidden="1"/>
    <row r="8852" ht="13.5" hidden="1"/>
    <row r="8853" ht="13.5" hidden="1"/>
    <row r="8854" ht="13.5" hidden="1"/>
    <row r="8855" ht="13.5" hidden="1"/>
    <row r="8856" ht="13.5" hidden="1"/>
    <row r="8857" ht="13.5" hidden="1"/>
    <row r="8858" ht="13.5" hidden="1"/>
    <row r="8859" ht="13.5" hidden="1"/>
    <row r="8860" ht="13.5" hidden="1"/>
    <row r="8861" ht="13.5" hidden="1"/>
    <row r="8862" ht="13.5" hidden="1"/>
    <row r="8863" ht="13.5" hidden="1"/>
    <row r="8864" ht="13.5" hidden="1"/>
    <row r="8865" ht="13.5" hidden="1"/>
    <row r="8866" ht="13.5" hidden="1"/>
    <row r="8867" ht="13.5" hidden="1"/>
    <row r="8868" ht="13.5" hidden="1"/>
    <row r="8869" ht="13.5" hidden="1"/>
    <row r="8870" ht="13.5" hidden="1"/>
    <row r="8871" ht="13.5" hidden="1"/>
    <row r="8872" ht="13.5" hidden="1"/>
    <row r="8873" ht="13.5" hidden="1"/>
    <row r="8874" ht="13.5" hidden="1"/>
    <row r="8875" ht="13.5" hidden="1"/>
    <row r="8876" ht="13.5" hidden="1"/>
    <row r="8877" ht="13.5" hidden="1"/>
    <row r="8878" ht="13.5" hidden="1"/>
    <row r="8879" ht="13.5" hidden="1"/>
    <row r="8880" ht="13.5" hidden="1"/>
    <row r="8881" ht="13.5" hidden="1"/>
    <row r="8882" ht="13.5" hidden="1"/>
    <row r="8883" ht="13.5" hidden="1"/>
    <row r="8884" ht="13.5" hidden="1"/>
    <row r="8885" ht="13.5" hidden="1"/>
    <row r="8886" ht="13.5" hidden="1"/>
    <row r="8887" ht="13.5" hidden="1"/>
    <row r="8888" ht="13.5" hidden="1"/>
    <row r="8889" ht="13.5" hidden="1"/>
    <row r="8890" ht="13.5" hidden="1"/>
    <row r="8891" ht="13.5" hidden="1"/>
    <row r="8892" ht="13.5" hidden="1"/>
    <row r="8893" ht="13.5" hidden="1"/>
    <row r="8894" ht="13.5" hidden="1"/>
    <row r="8895" ht="13.5" hidden="1"/>
    <row r="8896" ht="13.5" hidden="1"/>
    <row r="8897" ht="13.5" hidden="1"/>
    <row r="8898" ht="13.5" hidden="1"/>
    <row r="8899" ht="13.5" hidden="1"/>
    <row r="8900" ht="13.5" hidden="1"/>
    <row r="8901" ht="13.5" hidden="1"/>
    <row r="8902" ht="13.5" hidden="1"/>
    <row r="8903" ht="13.5" hidden="1"/>
    <row r="8904" ht="13.5" hidden="1"/>
    <row r="8905" ht="13.5" hidden="1"/>
    <row r="8906" ht="13.5" hidden="1"/>
    <row r="8907" ht="13.5" hidden="1"/>
    <row r="8908" ht="13.5" hidden="1"/>
    <row r="8909" ht="13.5" hidden="1"/>
    <row r="8910" ht="13.5" hidden="1"/>
    <row r="8911" ht="13.5" hidden="1"/>
    <row r="8912" ht="13.5" hidden="1"/>
    <row r="8913" ht="13.5" hidden="1"/>
    <row r="8914" ht="13.5" hidden="1"/>
    <row r="8915" ht="13.5" hidden="1"/>
    <row r="8916" ht="13.5" hidden="1"/>
    <row r="8917" ht="13.5" hidden="1"/>
    <row r="8918" ht="13.5" hidden="1"/>
    <row r="8919" ht="13.5" hidden="1"/>
    <row r="8920" ht="13.5" hidden="1"/>
    <row r="8921" ht="13.5" hidden="1"/>
    <row r="8922" ht="13.5" hidden="1"/>
    <row r="8923" ht="13.5" hidden="1"/>
    <row r="8924" ht="13.5" hidden="1"/>
    <row r="8925" ht="13.5" hidden="1"/>
    <row r="8926" ht="13.5" hidden="1"/>
    <row r="8927" ht="13.5" hidden="1"/>
    <row r="8928" ht="13.5" hidden="1"/>
    <row r="8929" ht="13.5" hidden="1"/>
    <row r="8930" ht="13.5" hidden="1"/>
    <row r="8931" ht="13.5" hidden="1"/>
    <row r="8932" ht="13.5" hidden="1"/>
    <row r="8933" ht="13.5" hidden="1"/>
    <row r="8934" ht="13.5" hidden="1"/>
    <row r="8935" ht="13.5" hidden="1"/>
    <row r="8936" ht="13.5" hidden="1"/>
    <row r="8937" ht="13.5" hidden="1"/>
    <row r="8938" ht="13.5" hidden="1"/>
    <row r="8939" ht="13.5" hidden="1"/>
    <row r="8940" ht="13.5" hidden="1"/>
    <row r="8941" ht="13.5" hidden="1"/>
    <row r="8942" ht="13.5" hidden="1"/>
    <row r="8943" ht="13.5" hidden="1"/>
    <row r="8944" ht="13.5" hidden="1"/>
    <row r="8945" ht="13.5" hidden="1"/>
    <row r="8946" ht="13.5" hidden="1"/>
    <row r="8947" ht="13.5" hidden="1"/>
    <row r="8948" ht="13.5" hidden="1"/>
    <row r="8949" ht="13.5" hidden="1"/>
    <row r="8950" ht="13.5" hidden="1"/>
    <row r="8951" ht="13.5" hidden="1"/>
    <row r="8952" ht="13.5" hidden="1"/>
    <row r="8953" ht="13.5" hidden="1"/>
    <row r="8954" ht="13.5" hidden="1"/>
    <row r="8955" ht="13.5" hidden="1"/>
    <row r="8956" ht="13.5" hidden="1"/>
    <row r="8957" ht="13.5" hidden="1"/>
    <row r="8958" ht="13.5" hidden="1"/>
    <row r="8959" ht="13.5" hidden="1"/>
    <row r="8960" ht="13.5" hidden="1"/>
    <row r="8961" ht="13.5" hidden="1"/>
    <row r="8962" ht="13.5" hidden="1"/>
    <row r="8963" ht="13.5" hidden="1"/>
    <row r="8964" ht="13.5" hidden="1"/>
    <row r="8965" ht="13.5" hidden="1"/>
    <row r="8966" ht="13.5" hidden="1"/>
    <row r="8967" ht="13.5" hidden="1"/>
    <row r="8968" ht="13.5" hidden="1"/>
    <row r="8969" ht="13.5" hidden="1"/>
    <row r="8970" ht="13.5" hidden="1"/>
    <row r="8971" ht="13.5" hidden="1"/>
    <row r="8972" ht="13.5" hidden="1"/>
    <row r="8973" ht="13.5" hidden="1"/>
    <row r="8974" ht="13.5" hidden="1"/>
    <row r="8975" ht="13.5" hidden="1"/>
    <row r="8976" ht="13.5" hidden="1"/>
    <row r="8977" ht="13.5" hidden="1"/>
    <row r="8978" ht="13.5" hidden="1"/>
    <row r="8979" ht="13.5" hidden="1"/>
    <row r="8980" ht="13.5" hidden="1"/>
    <row r="8981" ht="13.5" hidden="1"/>
    <row r="8982" ht="13.5" hidden="1"/>
    <row r="8983" ht="13.5" hidden="1"/>
    <row r="8984" ht="13.5" hidden="1"/>
    <row r="8985" ht="13.5" hidden="1"/>
    <row r="8986" ht="13.5" hidden="1"/>
    <row r="8987" ht="13.5" hidden="1"/>
    <row r="8988" ht="13.5" hidden="1"/>
    <row r="8989" ht="13.5" hidden="1"/>
    <row r="8990" ht="13.5" hidden="1"/>
    <row r="8991" ht="13.5" hidden="1"/>
    <row r="8992" ht="13.5" hidden="1"/>
    <row r="8993" ht="13.5" hidden="1"/>
    <row r="8994" ht="13.5" hidden="1"/>
    <row r="8995" ht="13.5" hidden="1"/>
    <row r="8996" ht="13.5" hidden="1"/>
    <row r="8997" ht="13.5" hidden="1"/>
    <row r="8998" ht="13.5" hidden="1"/>
    <row r="8999" ht="13.5" hidden="1"/>
    <row r="9000" ht="13.5" hidden="1"/>
    <row r="9001" ht="13.5" hidden="1"/>
    <row r="9002" ht="13.5" hidden="1"/>
    <row r="9003" ht="13.5" hidden="1"/>
    <row r="9004" ht="13.5" hidden="1"/>
    <row r="9005" ht="13.5" hidden="1"/>
    <row r="9006" ht="13.5" hidden="1"/>
    <row r="9007" ht="13.5" hidden="1"/>
    <row r="9008" ht="13.5" hidden="1"/>
    <row r="9009" ht="13.5" hidden="1"/>
    <row r="9010" ht="13.5" hidden="1"/>
    <row r="9011" ht="13.5" hidden="1"/>
    <row r="9012" ht="13.5" hidden="1"/>
    <row r="9013" ht="13.5" hidden="1"/>
    <row r="9014" ht="13.5" hidden="1"/>
    <row r="9015" ht="13.5" hidden="1"/>
    <row r="9016" ht="13.5" hidden="1"/>
    <row r="9017" ht="13.5" hidden="1"/>
    <row r="9018" ht="13.5" hidden="1"/>
    <row r="9019" ht="13.5" hidden="1"/>
    <row r="9020" ht="13.5" hidden="1"/>
    <row r="9021" ht="13.5" hidden="1"/>
    <row r="9022" ht="13.5" hidden="1"/>
    <row r="9023" ht="13.5" hidden="1"/>
    <row r="9024" ht="13.5" hidden="1"/>
    <row r="9025" ht="13.5" hidden="1"/>
    <row r="9026" ht="13.5" hidden="1"/>
    <row r="9027" ht="13.5" hidden="1"/>
    <row r="9028" ht="13.5" hidden="1"/>
    <row r="9029" ht="13.5" hidden="1"/>
    <row r="9030" ht="13.5" hidden="1"/>
    <row r="9031" ht="13.5" hidden="1"/>
    <row r="9032" ht="13.5" hidden="1"/>
    <row r="9033" ht="13.5" hidden="1"/>
    <row r="9034" ht="13.5" hidden="1"/>
    <row r="9035" ht="13.5" hidden="1"/>
    <row r="9036" ht="13.5" hidden="1"/>
    <row r="9037" ht="13.5" hidden="1"/>
    <row r="9038" ht="13.5" hidden="1"/>
    <row r="9039" ht="13.5" hidden="1"/>
    <row r="9040" ht="13.5" hidden="1"/>
    <row r="9041" ht="13.5" hidden="1"/>
    <row r="9042" ht="13.5" hidden="1"/>
    <row r="9043" ht="13.5" hidden="1"/>
    <row r="9044" ht="13.5" hidden="1"/>
    <row r="9045" ht="13.5" hidden="1"/>
    <row r="9046" ht="13.5" hidden="1"/>
    <row r="9047" ht="13.5" hidden="1"/>
    <row r="9048" ht="13.5" hidden="1"/>
    <row r="9049" ht="13.5" hidden="1"/>
    <row r="9050" ht="13.5" hidden="1"/>
    <row r="9051" ht="13.5" hidden="1"/>
    <row r="9052" ht="13.5" hidden="1"/>
    <row r="9053" ht="13.5" hidden="1"/>
    <row r="9054" ht="13.5" hidden="1"/>
    <row r="9055" ht="13.5" hidden="1"/>
    <row r="9056" ht="13.5" hidden="1"/>
    <row r="9057" ht="13.5" hidden="1"/>
    <row r="9058" ht="13.5" hidden="1"/>
    <row r="9059" ht="13.5" hidden="1"/>
    <row r="9060" ht="13.5" hidden="1"/>
    <row r="9061" ht="13.5" hidden="1"/>
    <row r="9062" ht="13.5" hidden="1"/>
    <row r="9063" ht="13.5" hidden="1"/>
    <row r="9064" ht="13.5" hidden="1"/>
    <row r="9065" ht="13.5" hidden="1"/>
    <row r="9066" ht="13.5" hidden="1"/>
    <row r="9067" ht="13.5" hidden="1"/>
    <row r="9068" ht="13.5" hidden="1"/>
    <row r="9069" ht="13.5" hidden="1"/>
    <row r="9070" ht="13.5" hidden="1"/>
    <row r="9071" ht="13.5" hidden="1"/>
    <row r="9072" ht="13.5" hidden="1"/>
    <row r="9073" ht="13.5" hidden="1"/>
    <row r="9074" ht="13.5" hidden="1"/>
    <row r="9075" ht="13.5" hidden="1"/>
    <row r="9076" ht="13.5" hidden="1"/>
    <row r="9077" ht="13.5" hidden="1"/>
    <row r="9078" ht="13.5" hidden="1"/>
    <row r="9079" ht="13.5" hidden="1"/>
    <row r="9080" ht="13.5" hidden="1"/>
    <row r="9081" ht="13.5" hidden="1"/>
    <row r="9082" ht="13.5" hidden="1"/>
    <row r="9083" ht="13.5" hidden="1"/>
    <row r="9084" ht="13.5" hidden="1"/>
    <row r="9085" ht="13.5" hidden="1"/>
    <row r="9086" ht="13.5" hidden="1"/>
    <row r="9087" ht="13.5" hidden="1"/>
    <row r="9088" ht="13.5" hidden="1"/>
    <row r="9089" ht="13.5" hidden="1"/>
    <row r="9090" ht="13.5" hidden="1"/>
    <row r="9091" ht="13.5" hidden="1"/>
    <row r="9092" ht="13.5" hidden="1"/>
    <row r="9093" ht="13.5" hidden="1"/>
    <row r="9094" ht="13.5" hidden="1"/>
    <row r="9095" ht="13.5" hidden="1"/>
    <row r="9096" ht="13.5" hidden="1"/>
    <row r="9097" ht="13.5" hidden="1"/>
    <row r="9098" ht="13.5" hidden="1"/>
    <row r="9099" ht="13.5" hidden="1"/>
    <row r="9100" ht="13.5" hidden="1"/>
    <row r="9101" ht="13.5" hidden="1"/>
    <row r="9102" ht="13.5" hidden="1"/>
    <row r="9103" ht="13.5" hidden="1"/>
    <row r="9104" ht="13.5" hidden="1"/>
    <row r="9105" ht="13.5" hidden="1"/>
    <row r="9106" ht="13.5" hidden="1"/>
    <row r="9107" ht="13.5" hidden="1"/>
    <row r="9108" ht="13.5" hidden="1"/>
    <row r="9109" ht="13.5" hidden="1"/>
    <row r="9110" ht="13.5" hidden="1"/>
    <row r="9111" ht="13.5" hidden="1"/>
    <row r="9112" ht="13.5" hidden="1"/>
    <row r="9113" ht="13.5" hidden="1"/>
    <row r="9114" ht="13.5" hidden="1"/>
    <row r="9115" ht="13.5" hidden="1"/>
    <row r="9116" ht="13.5" hidden="1"/>
    <row r="9117" ht="13.5" hidden="1"/>
    <row r="9118" ht="13.5" hidden="1"/>
    <row r="9119" ht="13.5" hidden="1"/>
    <row r="9120" ht="13.5" hidden="1"/>
    <row r="9121" ht="13.5" hidden="1"/>
    <row r="9122" ht="13.5" hidden="1"/>
    <row r="9123" ht="13.5" hidden="1"/>
    <row r="9124" ht="13.5" hidden="1"/>
    <row r="9125" ht="13.5" hidden="1"/>
    <row r="9126" ht="13.5" hidden="1"/>
    <row r="9127" ht="13.5" hidden="1"/>
    <row r="9128" ht="13.5" hidden="1"/>
    <row r="9129" ht="13.5" hidden="1"/>
    <row r="9130" ht="13.5" hidden="1"/>
    <row r="9131" ht="13.5" hidden="1"/>
    <row r="9132" ht="13.5" hidden="1"/>
    <row r="9133" ht="13.5" hidden="1"/>
    <row r="9134" ht="13.5" hidden="1"/>
    <row r="9135" ht="13.5" hidden="1"/>
    <row r="9136" ht="13.5" hidden="1"/>
    <row r="9137" ht="13.5" hidden="1"/>
    <row r="9138" ht="13.5" hidden="1"/>
    <row r="9139" ht="13.5" hidden="1"/>
    <row r="9140" ht="13.5" hidden="1"/>
    <row r="9141" ht="13.5" hidden="1"/>
    <row r="9142" ht="13.5" hidden="1"/>
    <row r="9143" ht="13.5" hidden="1"/>
    <row r="9144" ht="13.5" hidden="1"/>
    <row r="9145" ht="13.5" hidden="1"/>
    <row r="9146" ht="13.5" hidden="1"/>
    <row r="9147" ht="13.5" hidden="1"/>
    <row r="9148" ht="13.5" hidden="1"/>
    <row r="9149" ht="13.5" hidden="1"/>
    <row r="9150" ht="13.5" hidden="1"/>
    <row r="9151" ht="13.5" hidden="1"/>
    <row r="9152" ht="13.5" hidden="1"/>
    <row r="9153" ht="13.5" hidden="1"/>
    <row r="9154" ht="13.5" hidden="1"/>
    <row r="9155" ht="13.5" hidden="1"/>
    <row r="9156" ht="13.5" hidden="1"/>
    <row r="9157" ht="13.5" hidden="1"/>
    <row r="9158" ht="13.5" hidden="1"/>
    <row r="9159" ht="13.5" hidden="1"/>
    <row r="9160" ht="13.5" hidden="1"/>
    <row r="9161" ht="13.5" hidden="1"/>
    <row r="9162" ht="13.5" hidden="1"/>
    <row r="9163" ht="13.5" hidden="1"/>
    <row r="9164" ht="13.5" hidden="1"/>
    <row r="9165" ht="13.5" hidden="1"/>
    <row r="9166" ht="13.5" hidden="1"/>
    <row r="9167" ht="13.5" hidden="1"/>
    <row r="9168" ht="13.5" hidden="1"/>
    <row r="9169" ht="13.5" hidden="1"/>
    <row r="9170" ht="13.5" hidden="1"/>
    <row r="9171" ht="13.5" hidden="1"/>
    <row r="9172" ht="13.5" hidden="1"/>
    <row r="9173" ht="13.5" hidden="1"/>
    <row r="9174" ht="13.5" hidden="1"/>
    <row r="9175" ht="13.5" hidden="1"/>
    <row r="9176" ht="13.5" hidden="1"/>
    <row r="9177" ht="13.5" hidden="1"/>
    <row r="9178" ht="13.5" hidden="1"/>
    <row r="9179" ht="13.5" hidden="1"/>
    <row r="9180" ht="13.5" hidden="1"/>
    <row r="9181" ht="13.5" hidden="1"/>
    <row r="9182" ht="13.5" hidden="1"/>
    <row r="9183" ht="13.5" hidden="1"/>
    <row r="9184" ht="13.5" hidden="1"/>
    <row r="9185" ht="13.5" hidden="1"/>
    <row r="9186" ht="13.5" hidden="1"/>
    <row r="9187" ht="13.5" hidden="1"/>
    <row r="9188" ht="13.5" hidden="1"/>
    <row r="9189" ht="13.5" hidden="1"/>
    <row r="9190" ht="13.5" hidden="1"/>
    <row r="9191" ht="13.5" hidden="1"/>
    <row r="9192" ht="13.5" hidden="1"/>
    <row r="9193" ht="13.5" hidden="1"/>
    <row r="9194" ht="13.5" hidden="1"/>
    <row r="9195" ht="13.5" hidden="1"/>
    <row r="9196" ht="13.5" hidden="1"/>
    <row r="9197" ht="13.5" hidden="1"/>
    <row r="9198" ht="13.5" hidden="1"/>
    <row r="9199" ht="13.5" hidden="1"/>
    <row r="9200" ht="13.5" hidden="1"/>
    <row r="9201" ht="13.5" hidden="1"/>
    <row r="9202" ht="13.5" hidden="1"/>
    <row r="9203" ht="13.5" hidden="1"/>
    <row r="9204" ht="13.5" hidden="1"/>
    <row r="9205" ht="13.5" hidden="1"/>
    <row r="9206" ht="13.5" hidden="1"/>
    <row r="9207" ht="13.5" hidden="1"/>
    <row r="9208" ht="13.5" hidden="1"/>
    <row r="9209" ht="13.5" hidden="1"/>
    <row r="9210" ht="13.5" hidden="1"/>
    <row r="9211" ht="13.5" hidden="1"/>
    <row r="9212" ht="13.5" hidden="1"/>
    <row r="9213" ht="13.5" hidden="1"/>
    <row r="9214" ht="13.5" hidden="1"/>
    <row r="9215" ht="13.5" hidden="1"/>
    <row r="9216" ht="13.5" hidden="1"/>
    <row r="9217" ht="13.5" hidden="1"/>
    <row r="9218" ht="13.5" hidden="1"/>
    <row r="9219" ht="13.5" hidden="1"/>
    <row r="9220" ht="13.5" hidden="1"/>
    <row r="9221" ht="13.5" hidden="1"/>
    <row r="9222" ht="13.5" hidden="1"/>
    <row r="9223" ht="13.5" hidden="1"/>
    <row r="9224" ht="13.5" hidden="1"/>
    <row r="9225" ht="13.5" hidden="1"/>
    <row r="9226" ht="13.5" hidden="1"/>
    <row r="9227" ht="13.5" hidden="1"/>
    <row r="9228" ht="13.5" hidden="1"/>
    <row r="9229" ht="13.5" hidden="1"/>
    <row r="9230" ht="13.5" hidden="1"/>
    <row r="9231" ht="13.5" hidden="1"/>
    <row r="9232" ht="13.5" hidden="1"/>
    <row r="9233" ht="13.5" hidden="1"/>
    <row r="9234" ht="13.5" hidden="1"/>
    <row r="9235" ht="13.5" hidden="1"/>
    <row r="9236" ht="13.5" hidden="1"/>
    <row r="9237" ht="13.5" hidden="1"/>
    <row r="9238" ht="13.5" hidden="1"/>
    <row r="9239" ht="13.5" hidden="1"/>
    <row r="9240" ht="13.5" hidden="1"/>
    <row r="9241" ht="13.5" hidden="1"/>
    <row r="9242" ht="13.5" hidden="1"/>
    <row r="9243" ht="13.5" hidden="1"/>
    <row r="9244" ht="13.5" hidden="1"/>
    <row r="9245" ht="13.5" hidden="1"/>
    <row r="9246" ht="13.5" hidden="1"/>
    <row r="9247" ht="13.5" hidden="1"/>
    <row r="9248" ht="13.5" hidden="1"/>
    <row r="9249" ht="13.5" hidden="1"/>
    <row r="9250" ht="13.5" hidden="1"/>
    <row r="9251" ht="13.5" hidden="1"/>
    <row r="9252" ht="13.5" hidden="1"/>
    <row r="9253" ht="13.5" hidden="1"/>
    <row r="9254" ht="13.5" hidden="1"/>
    <row r="9255" ht="13.5" hidden="1"/>
    <row r="9256" ht="13.5" hidden="1"/>
    <row r="9257" ht="13.5" hidden="1"/>
    <row r="9258" ht="13.5" hidden="1"/>
    <row r="9259" ht="13.5" hidden="1"/>
    <row r="9260" ht="13.5" hidden="1"/>
    <row r="9261" ht="13.5" hidden="1"/>
    <row r="9262" ht="13.5" hidden="1"/>
    <row r="9263" ht="13.5" hidden="1"/>
    <row r="9264" ht="13.5" hidden="1"/>
    <row r="9265" ht="13.5" hidden="1"/>
    <row r="9266" ht="13.5" hidden="1"/>
    <row r="9267" ht="13.5" hidden="1"/>
    <row r="9268" ht="13.5" hidden="1"/>
    <row r="9269" ht="13.5" hidden="1"/>
    <row r="9270" ht="13.5" hidden="1"/>
    <row r="9271" ht="13.5" hidden="1"/>
    <row r="9272" ht="13.5" hidden="1"/>
    <row r="9273" ht="13.5" hidden="1"/>
    <row r="9274" ht="13.5" hidden="1"/>
    <row r="9275" ht="13.5" hidden="1"/>
    <row r="9276" ht="13.5" hidden="1"/>
    <row r="9277" ht="13.5" hidden="1"/>
    <row r="9278" ht="13.5" hidden="1"/>
    <row r="9279" ht="13.5" hidden="1"/>
    <row r="9280" ht="13.5" hidden="1"/>
    <row r="9281" ht="13.5" hidden="1"/>
    <row r="9282" ht="13.5" hidden="1"/>
    <row r="9283" ht="13.5" hidden="1"/>
    <row r="9284" ht="13.5" hidden="1"/>
    <row r="9285" ht="13.5" hidden="1"/>
    <row r="9286" ht="13.5" hidden="1"/>
    <row r="9287" ht="13.5" hidden="1"/>
    <row r="9288" ht="13.5" hidden="1"/>
    <row r="9289" ht="13.5" hidden="1"/>
    <row r="9290" ht="13.5" hidden="1"/>
    <row r="9291" ht="13.5" hidden="1"/>
    <row r="9292" ht="13.5" hidden="1"/>
    <row r="9293" ht="13.5" hidden="1"/>
    <row r="9294" ht="13.5" hidden="1"/>
    <row r="9295" ht="13.5" hidden="1"/>
    <row r="9296" ht="13.5" hidden="1"/>
    <row r="9297" ht="13.5" hidden="1"/>
    <row r="9298" ht="13.5" hidden="1"/>
    <row r="9299" ht="13.5" hidden="1"/>
    <row r="9300" ht="13.5" hidden="1"/>
    <row r="9301" ht="13.5" hidden="1"/>
    <row r="9302" ht="13.5" hidden="1"/>
    <row r="9303" ht="13.5" hidden="1"/>
    <row r="9304" ht="13.5" hidden="1"/>
    <row r="9305" ht="13.5" hidden="1"/>
    <row r="9306" ht="13.5" hidden="1"/>
    <row r="9307" ht="13.5" hidden="1"/>
    <row r="9308" ht="13.5" hidden="1"/>
    <row r="9309" ht="13.5" hidden="1"/>
    <row r="9310" ht="13.5" hidden="1"/>
    <row r="9311" ht="13.5" hidden="1"/>
    <row r="9312" ht="13.5" hidden="1"/>
    <row r="9313" ht="13.5" hidden="1"/>
    <row r="9314" ht="13.5" hidden="1"/>
    <row r="9315" ht="13.5" hidden="1"/>
    <row r="9316" ht="13.5" hidden="1"/>
    <row r="9317" ht="13.5" hidden="1"/>
    <row r="9318" ht="13.5" hidden="1"/>
    <row r="9319" ht="13.5" hidden="1"/>
    <row r="9320" ht="13.5" hidden="1"/>
    <row r="9321" ht="13.5" hidden="1"/>
    <row r="9322" ht="13.5" hidden="1"/>
    <row r="9323" ht="13.5" hidden="1"/>
    <row r="9324" ht="13.5" hidden="1"/>
    <row r="9325" ht="13.5" hidden="1"/>
    <row r="9326" ht="13.5" hidden="1"/>
    <row r="9327" ht="13.5" hidden="1"/>
    <row r="9328" ht="13.5" hidden="1"/>
    <row r="9329" ht="13.5" hidden="1"/>
    <row r="9330" ht="13.5" hidden="1"/>
    <row r="9331" ht="13.5" hidden="1"/>
    <row r="9332" ht="13.5" hidden="1"/>
    <row r="9333" ht="13.5" hidden="1"/>
    <row r="9334" ht="13.5" hidden="1"/>
    <row r="9335" ht="13.5" hidden="1"/>
    <row r="9336" ht="13.5" hidden="1"/>
    <row r="9337" ht="13.5" hidden="1"/>
    <row r="9338" ht="13.5" hidden="1"/>
    <row r="9339" ht="13.5" hidden="1"/>
    <row r="9340" ht="13.5" hidden="1"/>
    <row r="9341" ht="13.5" hidden="1"/>
    <row r="9342" ht="13.5" hidden="1"/>
    <row r="9343" ht="13.5" hidden="1"/>
    <row r="9344" ht="13.5" hidden="1"/>
    <row r="9345" ht="13.5" hidden="1"/>
    <row r="9346" ht="13.5" hidden="1"/>
    <row r="9347" ht="13.5" hidden="1"/>
    <row r="9348" ht="13.5" hidden="1"/>
    <row r="9349" ht="13.5" hidden="1"/>
    <row r="9350" ht="13.5" hidden="1"/>
    <row r="9351" ht="13.5" hidden="1"/>
    <row r="9352" ht="13.5" hidden="1"/>
    <row r="9353" ht="13.5" hidden="1"/>
    <row r="9354" ht="13.5" hidden="1"/>
    <row r="9355" ht="13.5" hidden="1"/>
    <row r="9356" ht="13.5" hidden="1"/>
    <row r="9357" ht="13.5" hidden="1"/>
    <row r="9358" ht="13.5" hidden="1"/>
    <row r="9359" ht="13.5" hidden="1"/>
    <row r="9360" ht="13.5" hidden="1"/>
    <row r="9361" ht="13.5" hidden="1"/>
    <row r="9362" ht="13.5" hidden="1"/>
    <row r="9363" ht="13.5" hidden="1"/>
    <row r="9364" ht="13.5" hidden="1"/>
    <row r="9365" ht="13.5" hidden="1"/>
    <row r="9366" ht="13.5" hidden="1"/>
    <row r="9367" ht="13.5" hidden="1"/>
    <row r="9368" ht="13.5" hidden="1"/>
    <row r="9369" ht="13.5" hidden="1"/>
    <row r="9370" ht="13.5" hidden="1"/>
    <row r="9371" ht="13.5" hidden="1"/>
    <row r="9372" ht="13.5" hidden="1"/>
    <row r="9373" ht="13.5" hidden="1"/>
    <row r="9374" ht="13.5" hidden="1"/>
    <row r="9375" ht="13.5" hidden="1"/>
    <row r="9376" ht="13.5" hidden="1"/>
    <row r="9377" ht="13.5" hidden="1"/>
    <row r="9378" ht="13.5" hidden="1"/>
    <row r="9379" ht="13.5" hidden="1"/>
    <row r="9380" ht="13.5" hidden="1"/>
    <row r="9381" ht="13.5" hidden="1"/>
    <row r="9382" ht="13.5" hidden="1"/>
    <row r="9383" ht="13.5" hidden="1"/>
    <row r="9384" ht="13.5" hidden="1"/>
    <row r="9385" ht="13.5" hidden="1"/>
    <row r="9386" ht="13.5" hidden="1"/>
    <row r="9387" ht="13.5" hidden="1"/>
    <row r="9388" ht="13.5" hidden="1"/>
    <row r="9389" ht="13.5" hidden="1"/>
    <row r="9390" ht="13.5" hidden="1"/>
    <row r="9391" ht="13.5" hidden="1"/>
    <row r="9392" ht="13.5" hidden="1"/>
    <row r="9393" ht="13.5" hidden="1"/>
    <row r="9394" ht="13.5" hidden="1"/>
    <row r="9395" ht="13.5" hidden="1"/>
    <row r="9396" ht="13.5" hidden="1"/>
    <row r="9397" ht="13.5" hidden="1"/>
    <row r="9398" ht="13.5" hidden="1"/>
    <row r="9399" ht="13.5" hidden="1"/>
    <row r="9400" ht="13.5" hidden="1"/>
    <row r="9401" ht="13.5" hidden="1"/>
    <row r="9402" ht="13.5" hidden="1"/>
    <row r="9403" ht="13.5" hidden="1"/>
    <row r="9404" ht="13.5" hidden="1"/>
    <row r="9405" ht="13.5" hidden="1"/>
    <row r="9406" ht="13.5" hidden="1"/>
    <row r="9407" ht="13.5" hidden="1"/>
    <row r="9408" ht="13.5" hidden="1"/>
    <row r="9409" ht="13.5" hidden="1"/>
    <row r="9410" ht="13.5" hidden="1"/>
    <row r="9411" ht="13.5" hidden="1"/>
    <row r="9412" ht="13.5" hidden="1"/>
    <row r="9413" ht="13.5" hidden="1"/>
    <row r="9414" ht="13.5" hidden="1"/>
    <row r="9415" ht="13.5" hidden="1"/>
    <row r="9416" ht="13.5" hidden="1"/>
    <row r="9417" ht="13.5" hidden="1"/>
    <row r="9418" ht="13.5" hidden="1"/>
    <row r="9419" ht="13.5" hidden="1"/>
    <row r="9420" ht="13.5" hidden="1"/>
    <row r="9421" ht="13.5" hidden="1"/>
    <row r="9422" ht="13.5" hidden="1"/>
    <row r="9423" ht="13.5" hidden="1"/>
    <row r="9424" ht="13.5" hidden="1"/>
    <row r="9425" ht="13.5" hidden="1"/>
    <row r="9426" ht="13.5" hidden="1"/>
    <row r="9427" ht="13.5" hidden="1"/>
    <row r="9428" ht="13.5" hidden="1"/>
    <row r="9429" ht="13.5" hidden="1"/>
    <row r="9430" ht="13.5" hidden="1"/>
    <row r="9431" ht="13.5" hidden="1"/>
    <row r="9432" ht="13.5" hidden="1"/>
    <row r="9433" ht="13.5" hidden="1"/>
    <row r="9434" ht="13.5" hidden="1"/>
    <row r="9435" ht="13.5" hidden="1"/>
    <row r="9436" ht="13.5" hidden="1"/>
    <row r="9437" ht="13.5" hidden="1"/>
    <row r="9438" ht="13.5" hidden="1"/>
    <row r="9439" ht="13.5" hidden="1"/>
    <row r="9440" ht="13.5" hidden="1"/>
    <row r="9441" ht="13.5" hidden="1"/>
    <row r="9442" ht="13.5" hidden="1"/>
    <row r="9443" ht="13.5" hidden="1"/>
    <row r="9444" ht="13.5" hidden="1"/>
    <row r="9445" ht="13.5" hidden="1"/>
    <row r="9446" ht="13.5" hidden="1"/>
    <row r="9447" ht="13.5" hidden="1"/>
    <row r="9448" ht="13.5" hidden="1"/>
    <row r="9449" ht="13.5" hidden="1"/>
    <row r="9450" ht="13.5" hidden="1"/>
    <row r="9451" ht="13.5" hidden="1"/>
    <row r="9452" ht="13.5" hidden="1"/>
    <row r="9453" ht="13.5" hidden="1"/>
    <row r="9454" ht="13.5" hidden="1"/>
    <row r="9455" ht="13.5" hidden="1"/>
    <row r="9456" ht="13.5" hidden="1"/>
    <row r="9457" ht="13.5" hidden="1"/>
    <row r="9458" ht="13.5" hidden="1"/>
    <row r="9459" ht="13.5" hidden="1"/>
    <row r="9460" ht="13.5" hidden="1"/>
    <row r="9461" ht="13.5" hidden="1"/>
    <row r="9462" ht="13.5" hidden="1"/>
    <row r="9463" ht="13.5" hidden="1"/>
    <row r="9464" ht="13.5" hidden="1"/>
    <row r="9465" ht="13.5" hidden="1"/>
    <row r="9466" ht="13.5" hidden="1"/>
    <row r="9467" ht="13.5" hidden="1"/>
    <row r="9468" ht="13.5" hidden="1"/>
    <row r="9469" ht="13.5" hidden="1"/>
    <row r="9470" ht="13.5" hidden="1"/>
    <row r="9471" ht="13.5" hidden="1"/>
    <row r="9472" ht="13.5" hidden="1"/>
    <row r="9473" ht="13.5" hidden="1"/>
    <row r="9474" ht="13.5" hidden="1"/>
    <row r="9475" ht="13.5" hidden="1"/>
    <row r="9476" ht="13.5" hidden="1"/>
    <row r="9477" ht="13.5" hidden="1"/>
    <row r="9478" ht="13.5" hidden="1"/>
    <row r="9479" ht="13.5" hidden="1"/>
    <row r="9480" ht="13.5" hidden="1"/>
    <row r="9481" ht="13.5" hidden="1"/>
    <row r="9482" ht="13.5" hidden="1"/>
    <row r="9483" ht="13.5" hidden="1"/>
    <row r="9484" ht="13.5" hidden="1"/>
    <row r="9485" ht="13.5" hidden="1"/>
    <row r="9486" ht="13.5" hidden="1"/>
    <row r="9487" ht="13.5" hidden="1"/>
    <row r="9488" ht="13.5" hidden="1"/>
    <row r="9489" ht="13.5" hidden="1"/>
    <row r="9490" ht="13.5" hidden="1"/>
    <row r="9491" ht="13.5" hidden="1"/>
    <row r="9492" ht="13.5" hidden="1"/>
    <row r="9493" ht="13.5" hidden="1"/>
    <row r="9494" ht="13.5" hidden="1"/>
    <row r="9495" ht="13.5" hidden="1"/>
    <row r="9496" ht="13.5" hidden="1"/>
    <row r="9497" ht="13.5" hidden="1"/>
    <row r="9498" ht="13.5" hidden="1"/>
    <row r="9499" ht="13.5" hidden="1"/>
    <row r="9500" ht="13.5" hidden="1"/>
    <row r="9501" ht="13.5" hidden="1"/>
    <row r="9502" ht="13.5" hidden="1"/>
    <row r="9503" ht="13.5" hidden="1"/>
    <row r="9504" ht="13.5" hidden="1"/>
    <row r="9505" ht="13.5" hidden="1"/>
    <row r="9506" ht="13.5" hidden="1"/>
    <row r="9507" ht="13.5" hidden="1"/>
    <row r="9508" ht="13.5" hidden="1"/>
    <row r="9509" ht="13.5" hidden="1"/>
    <row r="9510" ht="13.5" hidden="1"/>
    <row r="9511" ht="13.5" hidden="1"/>
    <row r="9512" ht="13.5" hidden="1"/>
    <row r="9513" ht="13.5" hidden="1"/>
    <row r="9514" ht="13.5" hidden="1"/>
    <row r="9515" ht="13.5" hidden="1"/>
    <row r="9516" ht="13.5" hidden="1"/>
    <row r="9517" ht="13.5" hidden="1"/>
    <row r="9518" ht="13.5" hidden="1"/>
    <row r="9519" ht="13.5" hidden="1"/>
    <row r="9520" ht="13.5" hidden="1"/>
    <row r="9521" ht="13.5" hidden="1"/>
    <row r="9522" ht="13.5" hidden="1"/>
    <row r="9523" ht="13.5" hidden="1"/>
    <row r="9524" ht="13.5" hidden="1"/>
    <row r="9525" ht="13.5" hidden="1"/>
    <row r="9526" ht="13.5" hidden="1"/>
    <row r="9527" ht="13.5" hidden="1"/>
    <row r="9528" ht="13.5" hidden="1"/>
    <row r="9529" ht="13.5" hidden="1"/>
    <row r="9530" ht="13.5" hidden="1"/>
    <row r="9531" ht="13.5" hidden="1"/>
    <row r="9532" ht="13.5" hidden="1"/>
    <row r="9533" ht="13.5" hidden="1"/>
    <row r="9534" ht="13.5" hidden="1"/>
    <row r="9535" ht="13.5" hidden="1"/>
    <row r="9536" ht="13.5" hidden="1"/>
    <row r="9537" ht="13.5" hidden="1"/>
    <row r="9538" ht="13.5" hidden="1"/>
    <row r="9539" ht="13.5" hidden="1"/>
    <row r="9540" ht="13.5" hidden="1"/>
    <row r="9541" ht="13.5" hidden="1"/>
    <row r="9542" ht="13.5" hidden="1"/>
    <row r="9543" ht="13.5" hidden="1"/>
    <row r="9544" ht="13.5" hidden="1"/>
    <row r="9545" ht="13.5" hidden="1"/>
    <row r="9546" ht="13.5" hidden="1"/>
    <row r="9547" ht="13.5" hidden="1"/>
    <row r="9548" ht="13.5" hidden="1"/>
    <row r="9549" ht="13.5" hidden="1"/>
    <row r="9550" ht="13.5" hidden="1"/>
    <row r="9551" ht="13.5" hidden="1"/>
    <row r="9552" ht="13.5" hidden="1"/>
    <row r="9553" ht="13.5" hidden="1"/>
    <row r="9554" ht="13.5" hidden="1"/>
    <row r="9555" ht="13.5" hidden="1"/>
    <row r="9556" ht="13.5" hidden="1"/>
    <row r="9557" ht="13.5" hidden="1"/>
    <row r="9558" ht="13.5" hidden="1"/>
    <row r="9559" ht="13.5" hidden="1"/>
    <row r="9560" ht="13.5" hidden="1"/>
    <row r="9561" ht="13.5" hidden="1"/>
    <row r="9562" ht="13.5" hidden="1"/>
    <row r="9563" ht="13.5" hidden="1"/>
    <row r="9564" ht="13.5" hidden="1"/>
    <row r="9565" ht="13.5" hidden="1"/>
    <row r="9566" ht="13.5" hidden="1"/>
    <row r="9567" ht="13.5" hidden="1"/>
    <row r="9568" ht="13.5" hidden="1"/>
    <row r="9569" ht="13.5" hidden="1"/>
    <row r="9570" ht="13.5" hidden="1"/>
    <row r="9571" ht="13.5" hidden="1"/>
    <row r="9572" ht="13.5" hidden="1"/>
    <row r="9573" ht="13.5" hidden="1"/>
    <row r="9574" ht="13.5" hidden="1"/>
    <row r="9575" ht="13.5" hidden="1"/>
    <row r="9576" ht="13.5" hidden="1"/>
    <row r="9577" ht="13.5" hidden="1"/>
    <row r="9578" ht="13.5" hidden="1"/>
    <row r="9579" ht="13.5" hidden="1"/>
    <row r="9580" ht="13.5" hidden="1"/>
    <row r="9581" ht="13.5" hidden="1"/>
    <row r="9582" ht="13.5" hidden="1"/>
    <row r="9583" ht="13.5" hidden="1"/>
    <row r="9584" ht="13.5" hidden="1"/>
    <row r="9585" ht="13.5" hidden="1"/>
    <row r="9586" ht="13.5" hidden="1"/>
    <row r="9587" ht="13.5" hidden="1"/>
    <row r="9588" ht="13.5" hidden="1"/>
    <row r="9589" ht="13.5" hidden="1"/>
    <row r="9590" ht="13.5" hidden="1"/>
    <row r="9591" ht="13.5" hidden="1"/>
    <row r="9592" ht="13.5" hidden="1"/>
    <row r="9593" ht="13.5" hidden="1"/>
    <row r="9594" ht="13.5" hidden="1"/>
    <row r="9595" ht="13.5" hidden="1"/>
    <row r="9596" ht="13.5" hidden="1"/>
    <row r="9597" ht="13.5" hidden="1"/>
    <row r="9598" ht="13.5" hidden="1"/>
    <row r="9599" ht="13.5" hidden="1"/>
    <row r="9600" ht="13.5" hidden="1"/>
    <row r="9601" ht="13.5" hidden="1"/>
    <row r="9602" ht="13.5" hidden="1"/>
    <row r="9603" ht="13.5" hidden="1"/>
    <row r="9604" ht="13.5" hidden="1"/>
    <row r="9605" ht="13.5" hidden="1"/>
    <row r="9606" ht="13.5" hidden="1"/>
    <row r="9607" ht="13.5" hidden="1"/>
    <row r="9608" ht="13.5" hidden="1"/>
    <row r="9609" ht="13.5" hidden="1"/>
    <row r="9610" ht="13.5" hidden="1"/>
    <row r="9611" ht="13.5" hidden="1"/>
    <row r="9612" ht="13.5" hidden="1"/>
    <row r="9613" ht="13.5" hidden="1"/>
    <row r="9614" ht="13.5" hidden="1"/>
    <row r="9615" ht="13.5" hidden="1"/>
    <row r="9616" ht="13.5" hidden="1"/>
    <row r="9617" ht="13.5" hidden="1"/>
    <row r="9618" ht="13.5" hidden="1"/>
    <row r="9619" ht="13.5" hidden="1"/>
    <row r="9620" ht="13.5" hidden="1"/>
    <row r="9621" ht="13.5" hidden="1"/>
    <row r="9622" ht="13.5" hidden="1"/>
    <row r="9623" ht="13.5" hidden="1"/>
    <row r="9624" ht="13.5" hidden="1"/>
    <row r="9625" ht="13.5" hidden="1"/>
    <row r="9626" ht="13.5" hidden="1"/>
    <row r="9627" ht="13.5" hidden="1"/>
    <row r="9628" ht="13.5" hidden="1"/>
    <row r="9629" ht="13.5" hidden="1"/>
    <row r="9630" ht="13.5" hidden="1"/>
    <row r="9631" ht="13.5" hidden="1"/>
    <row r="9632" ht="13.5" hidden="1"/>
    <row r="9633" ht="13.5" hidden="1"/>
    <row r="9634" ht="13.5" hidden="1"/>
    <row r="9635" ht="13.5" hidden="1"/>
    <row r="9636" ht="13.5" hidden="1"/>
    <row r="9637" ht="13.5" hidden="1"/>
    <row r="9638" ht="13.5" hidden="1"/>
    <row r="9639" ht="13.5" hidden="1"/>
    <row r="9640" ht="13.5" hidden="1"/>
    <row r="9641" ht="13.5" hidden="1"/>
    <row r="9642" ht="13.5" hidden="1"/>
    <row r="9643" ht="13.5" hidden="1"/>
    <row r="9644" ht="13.5" hidden="1"/>
    <row r="9645" ht="13.5" hidden="1"/>
    <row r="9646" ht="13.5" hidden="1"/>
    <row r="9647" ht="13.5" hidden="1"/>
    <row r="9648" ht="13.5" hidden="1"/>
    <row r="9649" ht="13.5" hidden="1"/>
    <row r="9650" ht="13.5" hidden="1"/>
    <row r="9651" ht="13.5" hidden="1"/>
    <row r="9652" ht="13.5" hidden="1"/>
    <row r="9653" ht="13.5" hidden="1"/>
    <row r="9654" ht="13.5" hidden="1"/>
    <row r="9655" ht="13.5" hidden="1"/>
    <row r="9656" ht="13.5" hidden="1"/>
    <row r="9657" ht="13.5" hidden="1"/>
    <row r="9658" ht="13.5" hidden="1"/>
    <row r="9659" ht="13.5" hidden="1"/>
    <row r="9660" ht="13.5" hidden="1"/>
    <row r="9661" ht="13.5" hidden="1"/>
    <row r="9662" ht="13.5" hidden="1"/>
    <row r="9663" ht="13.5" hidden="1"/>
    <row r="9664" ht="13.5" hidden="1"/>
    <row r="9665" ht="13.5" hidden="1"/>
    <row r="9666" ht="13.5" hidden="1"/>
    <row r="9667" ht="13.5" hidden="1"/>
    <row r="9668" ht="13.5" hidden="1"/>
    <row r="9669" ht="13.5" hidden="1"/>
    <row r="9670" ht="13.5" hidden="1"/>
    <row r="9671" ht="13.5" hidden="1"/>
    <row r="9672" ht="13.5" hidden="1"/>
    <row r="9673" ht="13.5" hidden="1"/>
    <row r="9674" ht="13.5" hidden="1"/>
    <row r="9675" ht="13.5" hidden="1"/>
    <row r="9676" ht="13.5" hidden="1"/>
    <row r="9677" ht="13.5" hidden="1"/>
    <row r="9678" ht="13.5" hidden="1"/>
    <row r="9679" ht="13.5" hidden="1"/>
    <row r="9680" ht="13.5" hidden="1"/>
    <row r="9681" ht="13.5" hidden="1"/>
    <row r="9682" ht="13.5" hidden="1"/>
    <row r="9683" ht="13.5" hidden="1"/>
    <row r="9684" ht="13.5" hidden="1"/>
    <row r="9685" ht="13.5" hidden="1"/>
    <row r="9686" ht="13.5" hidden="1"/>
    <row r="9687" ht="13.5" hidden="1"/>
    <row r="9688" ht="13.5" hidden="1"/>
    <row r="9689" ht="13.5" hidden="1"/>
    <row r="9690" ht="13.5" hidden="1"/>
    <row r="9691" ht="13.5" hidden="1"/>
    <row r="9692" ht="13.5" hidden="1"/>
    <row r="9693" ht="13.5" hidden="1"/>
    <row r="9694" ht="13.5" hidden="1"/>
    <row r="9695" ht="13.5" hidden="1"/>
    <row r="9696" ht="13.5" hidden="1"/>
    <row r="9697" ht="13.5" hidden="1"/>
    <row r="9698" ht="13.5" hidden="1"/>
    <row r="9699" ht="13.5" hidden="1"/>
    <row r="9700" ht="13.5" hidden="1"/>
    <row r="9701" ht="13.5" hidden="1"/>
    <row r="9702" ht="13.5" hidden="1"/>
    <row r="9703" ht="13.5" hidden="1"/>
    <row r="9704" ht="13.5" hidden="1"/>
    <row r="9705" ht="13.5" hidden="1"/>
    <row r="9706" ht="13.5" hidden="1"/>
    <row r="9707" ht="13.5" hidden="1"/>
    <row r="9708" ht="13.5" hidden="1"/>
    <row r="9709" ht="13.5" hidden="1"/>
    <row r="9710" ht="13.5" hidden="1"/>
    <row r="9711" ht="13.5" hidden="1"/>
    <row r="9712" ht="13.5" hidden="1"/>
    <row r="9713" ht="13.5" hidden="1"/>
    <row r="9714" ht="13.5" hidden="1"/>
    <row r="9715" ht="13.5" hidden="1"/>
    <row r="9716" ht="13.5" hidden="1"/>
    <row r="9717" ht="13.5" hidden="1"/>
    <row r="9718" ht="13.5" hidden="1"/>
    <row r="9719" ht="13.5" hidden="1"/>
    <row r="9720" ht="13.5" hidden="1"/>
    <row r="9721" ht="13.5" hidden="1"/>
    <row r="9722" ht="13.5" hidden="1"/>
    <row r="9723" ht="13.5" hidden="1"/>
    <row r="9724" ht="13.5" hidden="1"/>
    <row r="9725" ht="13.5" hidden="1"/>
    <row r="9726" ht="13.5" hidden="1"/>
    <row r="9727" ht="13.5" hidden="1"/>
    <row r="9728" ht="13.5" hidden="1"/>
    <row r="9729" ht="13.5" hidden="1"/>
    <row r="9730" ht="13.5" hidden="1"/>
    <row r="9731" ht="13.5" hidden="1"/>
    <row r="9732" ht="13.5" hidden="1"/>
    <row r="9733" ht="13.5" hidden="1"/>
    <row r="9734" ht="13.5" hidden="1"/>
    <row r="9735" ht="13.5" hidden="1"/>
    <row r="9736" ht="13.5" hidden="1"/>
    <row r="9737" ht="13.5" hidden="1"/>
    <row r="9738" ht="13.5" hidden="1"/>
    <row r="9739" ht="13.5" hidden="1"/>
    <row r="9740" ht="13.5" hidden="1"/>
    <row r="9741" ht="13.5" hidden="1"/>
    <row r="9742" ht="13.5" hidden="1"/>
    <row r="9743" ht="13.5" hidden="1"/>
    <row r="9744" ht="13.5" hidden="1"/>
    <row r="9745" ht="13.5" hidden="1"/>
    <row r="9746" ht="13.5" hidden="1"/>
    <row r="9747" ht="13.5" hidden="1"/>
    <row r="9748" ht="13.5" hidden="1"/>
    <row r="9749" ht="13.5" hidden="1"/>
    <row r="9750" ht="13.5" hidden="1"/>
    <row r="9751" ht="13.5" hidden="1"/>
    <row r="9752" ht="13.5" hidden="1"/>
    <row r="9753" ht="13.5" hidden="1"/>
    <row r="9754" ht="13.5" hidden="1"/>
    <row r="9755" ht="13.5" hidden="1"/>
    <row r="9756" ht="13.5" hidden="1"/>
    <row r="9757" ht="13.5" hidden="1"/>
    <row r="9758" ht="13.5" hidden="1"/>
    <row r="9759" ht="13.5" hidden="1"/>
    <row r="9760" ht="13.5" hidden="1"/>
    <row r="9761" ht="13.5" hidden="1"/>
    <row r="9762" ht="13.5" hidden="1"/>
    <row r="9763" ht="13.5" hidden="1"/>
    <row r="9764" ht="13.5" hidden="1"/>
    <row r="9765" ht="13.5" hidden="1"/>
    <row r="9766" ht="13.5" hidden="1"/>
    <row r="9767" ht="13.5" hidden="1"/>
    <row r="9768" ht="13.5" hidden="1"/>
    <row r="9769" ht="13.5" hidden="1"/>
    <row r="9770" ht="13.5" hidden="1"/>
    <row r="9771" ht="13.5" hidden="1"/>
    <row r="9772" ht="13.5" hidden="1"/>
    <row r="9773" ht="13.5" hidden="1"/>
    <row r="9774" ht="13.5" hidden="1"/>
    <row r="9775" ht="13.5" hidden="1"/>
    <row r="9776" ht="13.5" hidden="1"/>
    <row r="9777" ht="13.5" hidden="1"/>
    <row r="9778" ht="13.5" hidden="1"/>
    <row r="9779" ht="13.5" hidden="1"/>
    <row r="9780" ht="13.5" hidden="1"/>
    <row r="9781" ht="13.5" hidden="1"/>
    <row r="9782" ht="13.5" hidden="1"/>
    <row r="9783" ht="13.5" hidden="1"/>
    <row r="9784" ht="13.5" hidden="1"/>
    <row r="9785" ht="13.5" hidden="1"/>
    <row r="9786" ht="13.5" hidden="1"/>
    <row r="9787" ht="13.5" hidden="1"/>
    <row r="9788" ht="13.5" hidden="1"/>
    <row r="9789" ht="13.5" hidden="1"/>
    <row r="9790" ht="13.5" hidden="1"/>
    <row r="9791" ht="13.5" hidden="1"/>
    <row r="9792" ht="13.5" hidden="1"/>
    <row r="9793" ht="13.5" hidden="1"/>
    <row r="9794" ht="13.5" hidden="1"/>
    <row r="9795" ht="13.5" hidden="1"/>
    <row r="9796" ht="13.5" hidden="1"/>
    <row r="9797" ht="13.5" hidden="1"/>
    <row r="9798" ht="13.5" hidden="1"/>
    <row r="9799" ht="13.5" hidden="1"/>
    <row r="9800" ht="13.5" hidden="1"/>
    <row r="9801" ht="13.5" hidden="1"/>
    <row r="9802" ht="13.5" hidden="1"/>
    <row r="9803" ht="13.5" hidden="1"/>
    <row r="9804" ht="13.5" hidden="1"/>
    <row r="9805" ht="13.5" hidden="1"/>
    <row r="9806" ht="13.5" hidden="1"/>
    <row r="9807" ht="13.5" hidden="1"/>
    <row r="9808" ht="13.5" hidden="1"/>
    <row r="9809" ht="13.5" hidden="1"/>
    <row r="9810" ht="13.5" hidden="1"/>
    <row r="9811" ht="13.5" hidden="1"/>
    <row r="9812" ht="13.5" hidden="1"/>
    <row r="9813" ht="13.5" hidden="1"/>
    <row r="9814" ht="13.5" hidden="1"/>
    <row r="9815" ht="13.5" hidden="1"/>
    <row r="9816" ht="13.5" hidden="1"/>
    <row r="9817" ht="13.5" hidden="1"/>
    <row r="9818" ht="13.5" hidden="1"/>
    <row r="9819" ht="13.5" hidden="1"/>
    <row r="9820" ht="13.5" hidden="1"/>
    <row r="9821" ht="13.5" hidden="1"/>
    <row r="9822" ht="13.5" hidden="1"/>
    <row r="9823" ht="13.5" hidden="1"/>
    <row r="9824" ht="13.5" hidden="1"/>
    <row r="9825" ht="13.5" hidden="1"/>
    <row r="9826" ht="13.5" hidden="1"/>
    <row r="9827" ht="13.5" hidden="1"/>
    <row r="9828" ht="13.5" hidden="1"/>
    <row r="9829" ht="13.5" hidden="1"/>
    <row r="9830" ht="13.5" hidden="1"/>
    <row r="9831" ht="13.5" hidden="1"/>
    <row r="9832" ht="13.5" hidden="1"/>
    <row r="9833" ht="13.5" hidden="1"/>
    <row r="9834" ht="13.5" hidden="1"/>
    <row r="9835" ht="13.5" hidden="1"/>
    <row r="9836" ht="13.5" hidden="1"/>
    <row r="9837" ht="13.5" hidden="1"/>
    <row r="9838" ht="13.5" hidden="1"/>
    <row r="9839" ht="13.5" hidden="1"/>
    <row r="9840" ht="13.5" hidden="1"/>
    <row r="9841" ht="13.5" hidden="1"/>
    <row r="9842" ht="13.5" hidden="1"/>
    <row r="9843" ht="13.5" hidden="1"/>
    <row r="9844" ht="13.5" hidden="1"/>
    <row r="9845" ht="13.5" hidden="1"/>
    <row r="9846" ht="13.5" hidden="1"/>
    <row r="9847" ht="13.5" hidden="1"/>
    <row r="9848" ht="13.5" hidden="1"/>
    <row r="9849" ht="13.5" hidden="1"/>
    <row r="9850" ht="13.5" hidden="1"/>
    <row r="9851" ht="13.5" hidden="1"/>
    <row r="9852" ht="13.5" hidden="1"/>
    <row r="9853" ht="13.5" hidden="1"/>
    <row r="9854" ht="13.5" hidden="1"/>
    <row r="9855" ht="13.5" hidden="1"/>
    <row r="9856" ht="13.5" hidden="1"/>
    <row r="9857" ht="13.5" hidden="1"/>
    <row r="9858" ht="13.5" hidden="1"/>
    <row r="9859" ht="13.5" hidden="1"/>
    <row r="9860" ht="13.5" hidden="1"/>
    <row r="9861" ht="13.5" hidden="1"/>
    <row r="9862" ht="13.5" hidden="1"/>
    <row r="9863" ht="13.5" hidden="1"/>
    <row r="9864" ht="13.5" hidden="1"/>
    <row r="9865" ht="13.5" hidden="1"/>
    <row r="9866" ht="13.5" hidden="1"/>
    <row r="9867" ht="13.5" hidden="1"/>
    <row r="9868" ht="13.5" hidden="1"/>
    <row r="9869" ht="13.5" hidden="1"/>
    <row r="9870" ht="13.5" hidden="1"/>
    <row r="9871" ht="13.5" hidden="1"/>
    <row r="9872" ht="13.5" hidden="1"/>
    <row r="9873" ht="13.5" hidden="1"/>
    <row r="9874" ht="13.5" hidden="1"/>
    <row r="9875" ht="13.5" hidden="1"/>
    <row r="9876" ht="13.5" hidden="1"/>
    <row r="9877" ht="13.5" hidden="1"/>
    <row r="9878" ht="13.5" hidden="1"/>
    <row r="9879" ht="13.5" hidden="1"/>
    <row r="9880" ht="13.5" hidden="1"/>
    <row r="9881" ht="13.5" hidden="1"/>
    <row r="9882" ht="13.5" hidden="1"/>
    <row r="9883" ht="13.5" hidden="1"/>
    <row r="9884" ht="13.5" hidden="1"/>
    <row r="9885" ht="13.5" hidden="1"/>
    <row r="9886" ht="13.5" hidden="1"/>
    <row r="9887" ht="13.5" hidden="1"/>
    <row r="9888" ht="13.5" hidden="1"/>
    <row r="9889" ht="13.5" hidden="1"/>
    <row r="9890" ht="13.5" hidden="1"/>
    <row r="9891" ht="13.5" hidden="1"/>
    <row r="9892" ht="13.5" hidden="1"/>
    <row r="9893" ht="13.5" hidden="1"/>
    <row r="9894" ht="13.5" hidden="1"/>
    <row r="9895" ht="13.5" hidden="1"/>
    <row r="9896" ht="13.5" hidden="1"/>
    <row r="9897" ht="13.5" hidden="1"/>
    <row r="9898" ht="13.5" hidden="1"/>
    <row r="9899" ht="13.5" hidden="1"/>
    <row r="9900" ht="13.5" hidden="1"/>
    <row r="9901" ht="13.5" hidden="1"/>
    <row r="9902" ht="13.5" hidden="1"/>
    <row r="9903" ht="13.5" hidden="1"/>
    <row r="9904" ht="13.5" hidden="1"/>
    <row r="9905" ht="13.5" hidden="1"/>
    <row r="9906" ht="13.5" hidden="1"/>
    <row r="9907" ht="13.5" hidden="1"/>
    <row r="9908" ht="13.5" hidden="1"/>
    <row r="9909" ht="13.5" hidden="1"/>
    <row r="9910" ht="13.5" hidden="1"/>
    <row r="9911" ht="13.5" hidden="1"/>
    <row r="9912" ht="13.5" hidden="1"/>
    <row r="9913" ht="13.5" hidden="1"/>
    <row r="9914" ht="13.5" hidden="1"/>
    <row r="9915" ht="13.5" hidden="1"/>
    <row r="9916" ht="13.5" hidden="1"/>
    <row r="9917" ht="13.5" hidden="1"/>
    <row r="9918" ht="13.5" hidden="1"/>
    <row r="9919" ht="13.5" hidden="1"/>
    <row r="9920" ht="13.5" hidden="1"/>
    <row r="9921" ht="13.5" hidden="1"/>
    <row r="9922" ht="13.5" hidden="1"/>
    <row r="9923" ht="13.5" hidden="1"/>
    <row r="9924" ht="13.5" hidden="1"/>
    <row r="9925" ht="13.5" hidden="1"/>
    <row r="9926" ht="13.5" hidden="1"/>
    <row r="9927" ht="13.5" hidden="1"/>
    <row r="9928" ht="13.5" hidden="1"/>
    <row r="9929" ht="13.5" hidden="1"/>
    <row r="9930" ht="13.5" hidden="1"/>
    <row r="9931" ht="13.5" hidden="1"/>
    <row r="9932" ht="13.5" hidden="1"/>
    <row r="9933" ht="13.5" hidden="1"/>
    <row r="9934" ht="13.5" hidden="1"/>
    <row r="9935" ht="13.5" hidden="1"/>
    <row r="9936" ht="13.5" hidden="1"/>
    <row r="9937" ht="13.5" hidden="1"/>
    <row r="9938" ht="13.5" hidden="1"/>
    <row r="9939" ht="13.5" hidden="1"/>
    <row r="9940" ht="13.5" hidden="1"/>
    <row r="9941" ht="13.5" hidden="1"/>
    <row r="9942" ht="13.5" hidden="1"/>
    <row r="9943" ht="13.5" hidden="1"/>
    <row r="9944" ht="13.5" hidden="1"/>
    <row r="9945" ht="13.5" hidden="1"/>
    <row r="9946" ht="13.5" hidden="1"/>
    <row r="9947" ht="13.5" hidden="1"/>
    <row r="9948" ht="13.5" hidden="1"/>
    <row r="9949" ht="13.5" hidden="1"/>
    <row r="9950" ht="13.5" hidden="1"/>
    <row r="9951" ht="13.5" hidden="1"/>
    <row r="9952" ht="13.5" hidden="1"/>
    <row r="9953" ht="13.5" hidden="1"/>
    <row r="9954" ht="13.5" hidden="1"/>
    <row r="9955" ht="13.5" hidden="1"/>
    <row r="9956" ht="13.5" hidden="1"/>
    <row r="9957" ht="13.5" hidden="1"/>
    <row r="9958" ht="13.5" hidden="1"/>
    <row r="9959" ht="13.5" hidden="1"/>
    <row r="9960" ht="13.5" hidden="1"/>
    <row r="9961" ht="13.5" hidden="1"/>
    <row r="9962" ht="13.5" hidden="1"/>
    <row r="9963" ht="13.5" hidden="1"/>
    <row r="9964" ht="13.5" hidden="1"/>
    <row r="9965" ht="13.5" hidden="1"/>
    <row r="9966" ht="13.5" hidden="1"/>
    <row r="9967" ht="13.5" hidden="1"/>
    <row r="9968" ht="13.5" hidden="1"/>
    <row r="9969" ht="13.5" hidden="1"/>
    <row r="9970" ht="13.5" hidden="1"/>
    <row r="9971" ht="13.5" hidden="1"/>
    <row r="9972" ht="13.5" hidden="1"/>
    <row r="9973" ht="13.5" hidden="1"/>
    <row r="9974" ht="13.5" hidden="1"/>
    <row r="9975" ht="13.5" hidden="1"/>
    <row r="9976" ht="13.5" hidden="1"/>
    <row r="9977" ht="13.5" hidden="1"/>
    <row r="9978" ht="13.5" hidden="1"/>
    <row r="9979" ht="13.5" hidden="1"/>
    <row r="9980" ht="13.5" hidden="1"/>
    <row r="9981" ht="13.5" hidden="1"/>
    <row r="9982" ht="13.5" hidden="1"/>
    <row r="9983" ht="13.5" hidden="1"/>
    <row r="9984" ht="13.5" hidden="1"/>
    <row r="9985" ht="13.5" hidden="1"/>
    <row r="9986" ht="13.5" hidden="1"/>
    <row r="9987" ht="13.5" hidden="1"/>
    <row r="9988" ht="13.5" hidden="1"/>
    <row r="9989" ht="13.5" hidden="1"/>
    <row r="9990" ht="13.5" hidden="1"/>
    <row r="9991" ht="13.5" hidden="1"/>
    <row r="9992" ht="13.5" hidden="1"/>
    <row r="9993" ht="13.5" hidden="1"/>
    <row r="9994" ht="13.5" hidden="1"/>
    <row r="9995" ht="13.5" hidden="1"/>
    <row r="9996" ht="13.5" hidden="1"/>
    <row r="9997" ht="13.5" hidden="1"/>
    <row r="9998" ht="13.5" hidden="1"/>
    <row r="9999" ht="13.5" hidden="1"/>
    <row r="10000" ht="13.5" hidden="1"/>
    <row r="10001" ht="13.5" hidden="1"/>
    <row r="10002" ht="13.5" hidden="1"/>
    <row r="10003" ht="13.5" hidden="1"/>
    <row r="10004" ht="13.5" hidden="1"/>
    <row r="10005" ht="13.5" hidden="1"/>
    <row r="10006" ht="13.5" hidden="1"/>
    <row r="10007" ht="13.5" hidden="1"/>
    <row r="10008" ht="13.5" hidden="1"/>
    <row r="10009" ht="13.5" hidden="1"/>
    <row r="10010" ht="13.5" hidden="1"/>
    <row r="10011" ht="13.5" hidden="1"/>
    <row r="10012" ht="13.5" hidden="1"/>
    <row r="10013" ht="13.5" hidden="1"/>
    <row r="10014" ht="13.5" hidden="1"/>
    <row r="10015" ht="13.5" hidden="1"/>
    <row r="10016" ht="13.5" hidden="1"/>
    <row r="10017" ht="13.5" hidden="1"/>
    <row r="10018" ht="13.5" hidden="1"/>
    <row r="10019" ht="13.5" hidden="1"/>
    <row r="10020" ht="13.5" hidden="1"/>
    <row r="10021" ht="13.5" hidden="1"/>
    <row r="10022" ht="13.5" hidden="1"/>
    <row r="10023" ht="13.5" hidden="1"/>
    <row r="10024" ht="13.5" hidden="1"/>
    <row r="10025" ht="13.5" hidden="1"/>
    <row r="10026" ht="13.5" hidden="1"/>
    <row r="10027" ht="13.5" hidden="1"/>
    <row r="10028" ht="13.5" hidden="1"/>
    <row r="10029" ht="13.5" hidden="1"/>
    <row r="10030" ht="13.5" hidden="1"/>
    <row r="10031" ht="13.5" hidden="1"/>
    <row r="10032" ht="13.5" hidden="1"/>
    <row r="10033" ht="13.5" hidden="1"/>
    <row r="10034" ht="13.5" hidden="1"/>
    <row r="10035" ht="13.5" hidden="1"/>
    <row r="10036" ht="13.5" hidden="1"/>
    <row r="10037" ht="13.5" hidden="1"/>
    <row r="10038" ht="13.5" hidden="1"/>
    <row r="10039" ht="13.5" hidden="1"/>
    <row r="10040" ht="13.5" hidden="1"/>
    <row r="10041" ht="13.5" hidden="1"/>
    <row r="10042" ht="13.5" hidden="1"/>
    <row r="10043" ht="13.5" hidden="1"/>
    <row r="10044" ht="13.5" hidden="1"/>
    <row r="10045" ht="13.5" hidden="1"/>
    <row r="10046" ht="13.5" hidden="1"/>
    <row r="10047" ht="13.5" hidden="1"/>
    <row r="10048" ht="13.5" hidden="1"/>
    <row r="10049" ht="13.5" hidden="1"/>
    <row r="10050" ht="13.5" hidden="1"/>
    <row r="10051" ht="13.5" hidden="1"/>
    <row r="10052" ht="13.5" hidden="1"/>
    <row r="10053" ht="13.5" hidden="1"/>
    <row r="10054" ht="13.5" hidden="1"/>
    <row r="10055" ht="13.5" hidden="1"/>
    <row r="10056" ht="13.5" hidden="1"/>
    <row r="10057" ht="13.5" hidden="1"/>
    <row r="10058" ht="13.5" hidden="1"/>
    <row r="10059" ht="13.5" hidden="1"/>
    <row r="10060" ht="13.5" hidden="1"/>
    <row r="10061" ht="13.5" hidden="1"/>
    <row r="10062" ht="13.5" hidden="1"/>
    <row r="10063" ht="13.5" hidden="1"/>
    <row r="10064" ht="13.5" hidden="1"/>
    <row r="10065" ht="13.5" hidden="1"/>
    <row r="10066" ht="13.5" hidden="1"/>
    <row r="10067" ht="13.5" hidden="1"/>
    <row r="10068" ht="13.5" hidden="1"/>
    <row r="10069" ht="13.5" hidden="1"/>
    <row r="10070" ht="13.5" hidden="1"/>
    <row r="10071" ht="13.5" hidden="1"/>
    <row r="10072" ht="13.5" hidden="1"/>
    <row r="10073" ht="13.5" hidden="1"/>
    <row r="10074" ht="13.5" hidden="1"/>
    <row r="10075" ht="13.5" hidden="1"/>
    <row r="10076" ht="13.5" hidden="1"/>
    <row r="10077" ht="13.5" hidden="1"/>
    <row r="10078" ht="13.5" hidden="1"/>
    <row r="10079" ht="13.5" hidden="1"/>
    <row r="10080" ht="13.5" hidden="1"/>
    <row r="10081" ht="13.5" hidden="1"/>
    <row r="10082" ht="13.5" hidden="1"/>
    <row r="10083" ht="13.5" hidden="1"/>
    <row r="10084" ht="13.5" hidden="1"/>
    <row r="10085" ht="13.5" hidden="1"/>
    <row r="10086" ht="13.5" hidden="1"/>
    <row r="10087" ht="13.5" hidden="1"/>
    <row r="10088" ht="13.5" hidden="1"/>
    <row r="10089" ht="13.5" hidden="1"/>
    <row r="10090" ht="13.5" hidden="1"/>
    <row r="10091" ht="13.5" hidden="1"/>
    <row r="10092" ht="13.5" hidden="1"/>
    <row r="10093" ht="13.5" hidden="1"/>
    <row r="10094" ht="13.5" hidden="1"/>
    <row r="10095" ht="13.5" hidden="1"/>
    <row r="10096" ht="13.5" hidden="1"/>
    <row r="10097" ht="13.5" hidden="1"/>
    <row r="10098" ht="13.5" hidden="1"/>
    <row r="10099" ht="13.5" hidden="1"/>
    <row r="10100" ht="13.5" hidden="1"/>
    <row r="10101" ht="13.5" hidden="1"/>
    <row r="10102" ht="13.5" hidden="1"/>
    <row r="10103" ht="13.5" hidden="1"/>
    <row r="10104" ht="13.5" hidden="1"/>
    <row r="10105" ht="13.5" hidden="1"/>
    <row r="10106" ht="13.5" hidden="1"/>
    <row r="10107" ht="13.5" hidden="1"/>
    <row r="10108" ht="13.5" hidden="1"/>
    <row r="10109" ht="13.5" hidden="1"/>
    <row r="10110" ht="13.5" hidden="1"/>
    <row r="10111" ht="13.5" hidden="1"/>
    <row r="10112" ht="13.5" hidden="1"/>
    <row r="10113" ht="13.5" hidden="1"/>
    <row r="10114" ht="13.5" hidden="1"/>
    <row r="10115" ht="13.5" hidden="1"/>
    <row r="10116" ht="13.5" hidden="1"/>
    <row r="10117" ht="13.5" hidden="1"/>
    <row r="10118" ht="13.5" hidden="1"/>
    <row r="10119" ht="13.5" hidden="1"/>
    <row r="10120" ht="13.5" hidden="1"/>
    <row r="10121" ht="13.5" hidden="1"/>
    <row r="10122" ht="13.5" hidden="1"/>
    <row r="10123" ht="13.5" hidden="1"/>
    <row r="10124" ht="13.5" hidden="1"/>
    <row r="10125" ht="13.5" hidden="1"/>
    <row r="10126" ht="13.5" hidden="1"/>
    <row r="10127" ht="13.5" hidden="1"/>
    <row r="10128" ht="13.5" hidden="1"/>
    <row r="10129" ht="13.5" hidden="1"/>
    <row r="10130" ht="13.5" hidden="1"/>
    <row r="10131" ht="13.5" hidden="1"/>
    <row r="10132" ht="13.5" hidden="1"/>
    <row r="10133" ht="13.5" hidden="1"/>
    <row r="10134" ht="13.5" hidden="1"/>
    <row r="10135" ht="13.5" hidden="1"/>
    <row r="10136" ht="13.5" hidden="1"/>
    <row r="10137" ht="13.5" hidden="1"/>
    <row r="10138" ht="13.5" hidden="1"/>
    <row r="10139" ht="13.5" hidden="1"/>
    <row r="10140" ht="13.5" hidden="1"/>
    <row r="10141" ht="13.5" hidden="1"/>
    <row r="10142" ht="13.5" hidden="1"/>
    <row r="10143" ht="13.5" hidden="1"/>
    <row r="10144" ht="13.5" hidden="1"/>
    <row r="10145" ht="13.5" hidden="1"/>
    <row r="10146" ht="13.5" hidden="1"/>
    <row r="10147" ht="13.5" hidden="1"/>
    <row r="10148" ht="13.5" hidden="1"/>
    <row r="10149" ht="13.5" hidden="1"/>
    <row r="10150" ht="13.5" hidden="1"/>
    <row r="10151" ht="13.5" hidden="1"/>
    <row r="10152" ht="13.5" hidden="1"/>
    <row r="10153" ht="13.5" hidden="1"/>
    <row r="10154" ht="13.5" hidden="1"/>
    <row r="10155" ht="13.5" hidden="1"/>
    <row r="10156" ht="13.5" hidden="1"/>
    <row r="10157" ht="13.5" hidden="1"/>
    <row r="10158" ht="13.5" hidden="1"/>
    <row r="10159" ht="13.5" hidden="1"/>
    <row r="10160" ht="13.5" hidden="1"/>
    <row r="10161" ht="13.5" hidden="1"/>
    <row r="10162" ht="13.5" hidden="1"/>
    <row r="10163" ht="13.5" hidden="1"/>
    <row r="10164" ht="13.5" hidden="1"/>
    <row r="10165" ht="13.5" hidden="1"/>
    <row r="10166" ht="13.5" hidden="1"/>
    <row r="10167" ht="13.5" hidden="1"/>
    <row r="10168" ht="13.5" hidden="1"/>
    <row r="10169" ht="13.5" hidden="1"/>
    <row r="10170" ht="13.5" hidden="1"/>
    <row r="10171" ht="13.5" hidden="1"/>
    <row r="10172" ht="13.5" hidden="1"/>
    <row r="10173" ht="13.5" hidden="1"/>
    <row r="10174" ht="13.5" hidden="1"/>
    <row r="10175" ht="13.5" hidden="1"/>
    <row r="10176" ht="13.5" hidden="1"/>
    <row r="10177" ht="13.5" hidden="1"/>
    <row r="10178" ht="13.5" hidden="1"/>
    <row r="10179" ht="13.5" hidden="1"/>
    <row r="10180" ht="13.5" hidden="1"/>
    <row r="10181" ht="13.5" hidden="1"/>
    <row r="10182" ht="13.5" hidden="1"/>
    <row r="10183" ht="13.5" hidden="1"/>
    <row r="10184" ht="13.5" hidden="1"/>
    <row r="10185" ht="13.5" hidden="1"/>
    <row r="10186" ht="13.5" hidden="1"/>
    <row r="10187" ht="13.5" hidden="1"/>
    <row r="10188" ht="13.5" hidden="1"/>
    <row r="10189" ht="13.5" hidden="1"/>
    <row r="10190" ht="13.5" hidden="1"/>
    <row r="10191" ht="13.5" hidden="1"/>
    <row r="10192" ht="13.5" hidden="1"/>
    <row r="10193" ht="13.5" hidden="1"/>
    <row r="10194" ht="13.5" hidden="1"/>
    <row r="10195" ht="13.5" hidden="1"/>
    <row r="10196" ht="13.5" hidden="1"/>
    <row r="10197" ht="13.5" hidden="1"/>
    <row r="10198" ht="13.5" hidden="1"/>
    <row r="10199" ht="13.5" hidden="1"/>
    <row r="10200" ht="13.5" hidden="1"/>
    <row r="10201" ht="13.5" hidden="1"/>
    <row r="10202" ht="13.5" hidden="1"/>
    <row r="10203" ht="13.5" hidden="1"/>
    <row r="10204" ht="13.5" hidden="1"/>
    <row r="10205" ht="13.5" hidden="1"/>
    <row r="10206" ht="13.5" hidden="1"/>
    <row r="10207" ht="13.5" hidden="1"/>
    <row r="10208" ht="13.5" hidden="1"/>
    <row r="10209" ht="13.5" hidden="1"/>
    <row r="10210" ht="13.5" hidden="1"/>
    <row r="10211" ht="13.5" hidden="1"/>
    <row r="10212" ht="13.5" hidden="1"/>
    <row r="10213" ht="13.5" hidden="1"/>
    <row r="10214" ht="13.5" hidden="1"/>
    <row r="10215" ht="13.5" hidden="1"/>
    <row r="10216" ht="13.5" hidden="1"/>
    <row r="10217" ht="13.5" hidden="1"/>
    <row r="10218" ht="13.5" hidden="1"/>
    <row r="10219" ht="13.5" hidden="1"/>
    <row r="10220" ht="13.5" hidden="1"/>
    <row r="10221" ht="13.5" hidden="1"/>
    <row r="10222" ht="13.5" hidden="1"/>
    <row r="10223" ht="13.5" hidden="1"/>
    <row r="10224" ht="13.5" hidden="1"/>
    <row r="10225" ht="13.5" hidden="1"/>
    <row r="10226" ht="13.5" hidden="1"/>
    <row r="10227" ht="13.5" hidden="1"/>
    <row r="10228" ht="13.5" hidden="1"/>
    <row r="10229" ht="13.5" hidden="1"/>
    <row r="10230" ht="13.5" hidden="1"/>
    <row r="10231" ht="13.5" hidden="1"/>
    <row r="10232" ht="13.5" hidden="1"/>
    <row r="10233" ht="13.5" hidden="1"/>
    <row r="10234" ht="13.5" hidden="1"/>
    <row r="10235" ht="13.5" hidden="1"/>
    <row r="10236" ht="13.5" hidden="1"/>
    <row r="10237" ht="13.5" hidden="1"/>
    <row r="10238" ht="13.5" hidden="1"/>
    <row r="10239" ht="13.5" hidden="1"/>
    <row r="10240" ht="13.5" hidden="1"/>
    <row r="10241" ht="13.5" hidden="1"/>
    <row r="10242" ht="13.5" hidden="1"/>
    <row r="10243" ht="13.5" hidden="1"/>
    <row r="10244" ht="13.5" hidden="1"/>
    <row r="10245" ht="13.5" hidden="1"/>
    <row r="10246" ht="13.5" hidden="1"/>
    <row r="10247" ht="13.5" hidden="1"/>
    <row r="10248" ht="13.5" hidden="1"/>
    <row r="10249" ht="13.5" hidden="1"/>
    <row r="10250" ht="13.5" hidden="1"/>
    <row r="10251" ht="13.5" hidden="1"/>
    <row r="10252" ht="13.5" hidden="1"/>
    <row r="10253" ht="13.5" hidden="1"/>
    <row r="10254" ht="13.5" hidden="1"/>
    <row r="10255" ht="13.5" hidden="1"/>
    <row r="10256" ht="13.5" hidden="1"/>
    <row r="10257" ht="13.5" hidden="1"/>
    <row r="10258" ht="13.5" hidden="1"/>
    <row r="10259" ht="13.5" hidden="1"/>
    <row r="10260" ht="13.5" hidden="1"/>
    <row r="10261" ht="13.5" hidden="1"/>
    <row r="10262" ht="13.5" hidden="1"/>
    <row r="10263" ht="13.5" hidden="1"/>
    <row r="10264" ht="13.5" hidden="1"/>
    <row r="10265" ht="13.5" hidden="1"/>
    <row r="10266" ht="13.5" hidden="1"/>
    <row r="10267" ht="13.5" hidden="1"/>
    <row r="10268" ht="13.5" hidden="1"/>
    <row r="10269" ht="13.5" hidden="1"/>
    <row r="10270" ht="13.5" hidden="1"/>
    <row r="10271" ht="13.5" hidden="1"/>
    <row r="10272" ht="13.5" hidden="1"/>
    <row r="10273" ht="13.5" hidden="1"/>
    <row r="10274" ht="13.5" hidden="1"/>
    <row r="10275" ht="13.5" hidden="1"/>
    <row r="10276" ht="13.5" hidden="1"/>
    <row r="10277" ht="13.5" hidden="1"/>
    <row r="10278" ht="13.5" hidden="1"/>
    <row r="10279" ht="13.5" hidden="1"/>
    <row r="10280" ht="13.5" hidden="1"/>
    <row r="10281" ht="13.5" hidden="1"/>
    <row r="10282" ht="13.5" hidden="1"/>
    <row r="10283" ht="13.5" hidden="1"/>
    <row r="10284" ht="13.5" hidden="1"/>
    <row r="10285" ht="13.5" hidden="1"/>
    <row r="10286" ht="13.5" hidden="1"/>
    <row r="10287" ht="13.5" hidden="1"/>
    <row r="10288" ht="13.5" hidden="1"/>
    <row r="10289" ht="13.5" hidden="1"/>
    <row r="10290" ht="13.5" hidden="1"/>
    <row r="10291" ht="13.5" hidden="1"/>
    <row r="10292" ht="13.5" hidden="1"/>
    <row r="10293" ht="13.5" hidden="1"/>
    <row r="10294" ht="13.5" hidden="1"/>
    <row r="10295" ht="13.5" hidden="1"/>
    <row r="10296" ht="13.5" hidden="1"/>
    <row r="10297" ht="13.5" hidden="1"/>
    <row r="10298" ht="13.5" hidden="1"/>
    <row r="10299" ht="13.5" hidden="1"/>
    <row r="10300" ht="13.5" hidden="1"/>
    <row r="10301" ht="13.5" hidden="1"/>
    <row r="10302" ht="13.5" hidden="1"/>
    <row r="10303" ht="13.5" hidden="1"/>
    <row r="10304" ht="13.5" hidden="1"/>
    <row r="10305" ht="13.5" hidden="1"/>
    <row r="10306" ht="13.5" hidden="1"/>
    <row r="10307" ht="13.5" hidden="1"/>
    <row r="10308" ht="13.5" hidden="1"/>
    <row r="10309" ht="13.5" hidden="1"/>
    <row r="10310" ht="13.5" hidden="1"/>
    <row r="10311" ht="13.5" hidden="1"/>
    <row r="10312" ht="13.5" hidden="1"/>
    <row r="10313" ht="13.5" hidden="1"/>
    <row r="10314" ht="13.5" hidden="1"/>
    <row r="10315" ht="13.5" hidden="1"/>
    <row r="10316" ht="13.5" hidden="1"/>
    <row r="10317" ht="13.5" hidden="1"/>
    <row r="10318" ht="13.5" hidden="1"/>
    <row r="10319" ht="13.5" hidden="1"/>
    <row r="10320" ht="13.5" hidden="1"/>
    <row r="10321" ht="13.5" hidden="1"/>
    <row r="10322" ht="13.5" hidden="1"/>
    <row r="10323" ht="13.5" hidden="1"/>
    <row r="10324" ht="13.5" hidden="1"/>
    <row r="10325" ht="13.5" hidden="1"/>
    <row r="10326" ht="13.5" hidden="1"/>
    <row r="10327" ht="13.5" hidden="1"/>
    <row r="10328" ht="13.5" hidden="1"/>
    <row r="10329" ht="13.5" hidden="1"/>
    <row r="10330" ht="13.5" hidden="1"/>
    <row r="10331" ht="13.5" hidden="1"/>
    <row r="10332" ht="13.5" hidden="1"/>
    <row r="10333" ht="13.5" hidden="1"/>
    <row r="10334" ht="13.5" hidden="1"/>
    <row r="10335" ht="13.5" hidden="1"/>
    <row r="10336" ht="13.5" hidden="1"/>
    <row r="10337" ht="13.5" hidden="1"/>
    <row r="10338" ht="13.5" hidden="1"/>
    <row r="10339" ht="13.5" hidden="1"/>
    <row r="10340" ht="13.5" hidden="1"/>
    <row r="10341" ht="13.5" hidden="1"/>
    <row r="10342" ht="13.5" hidden="1"/>
    <row r="10343" ht="13.5" hidden="1"/>
    <row r="10344" ht="13.5" hidden="1"/>
    <row r="10345" ht="13.5" hidden="1"/>
    <row r="10346" ht="13.5" hidden="1"/>
    <row r="10347" ht="13.5" hidden="1"/>
    <row r="10348" ht="13.5" hidden="1"/>
    <row r="10349" ht="13.5" hidden="1"/>
    <row r="10350" ht="13.5" hidden="1"/>
    <row r="10351" ht="13.5" hidden="1"/>
    <row r="10352" ht="13.5" hidden="1"/>
    <row r="10353" ht="13.5" hidden="1"/>
    <row r="10354" ht="13.5" hidden="1"/>
    <row r="10355" ht="13.5" hidden="1"/>
    <row r="10356" ht="13.5" hidden="1"/>
    <row r="10357" ht="13.5" hidden="1"/>
    <row r="10358" ht="13.5" hidden="1"/>
    <row r="10359" ht="13.5" hidden="1"/>
    <row r="10360" ht="13.5" hidden="1"/>
    <row r="10361" ht="13.5" hidden="1"/>
    <row r="10362" ht="13.5" hidden="1"/>
    <row r="10363" ht="13.5" hidden="1"/>
    <row r="10364" ht="13.5" hidden="1"/>
    <row r="10365" ht="13.5" hidden="1"/>
    <row r="10366" ht="13.5" hidden="1"/>
    <row r="10367" ht="13.5" hidden="1"/>
    <row r="10368" ht="13.5" hidden="1"/>
    <row r="10369" ht="13.5" hidden="1"/>
    <row r="10370" ht="13.5" hidden="1"/>
    <row r="10371" ht="13.5" hidden="1"/>
    <row r="10372" ht="13.5" hidden="1"/>
    <row r="10373" ht="13.5" hidden="1"/>
    <row r="10374" ht="13.5" hidden="1"/>
    <row r="10375" ht="13.5" hidden="1"/>
    <row r="10376" ht="13.5" hidden="1"/>
    <row r="10377" ht="13.5" hidden="1"/>
    <row r="10378" ht="13.5" hidden="1"/>
    <row r="10379" ht="13.5" hidden="1"/>
    <row r="10380" ht="13.5" hidden="1"/>
    <row r="10381" ht="13.5" hidden="1"/>
    <row r="10382" ht="13.5" hidden="1"/>
    <row r="10383" ht="13.5" hidden="1"/>
    <row r="10384" ht="13.5" hidden="1"/>
    <row r="10385" ht="13.5" hidden="1"/>
    <row r="10386" ht="13.5" hidden="1"/>
    <row r="10387" ht="13.5" hidden="1"/>
    <row r="10388" ht="13.5" hidden="1"/>
    <row r="10389" ht="13.5" hidden="1"/>
    <row r="10390" ht="13.5" hidden="1"/>
    <row r="10391" ht="13.5" hidden="1"/>
    <row r="10392" ht="13.5" hidden="1"/>
    <row r="10393" ht="13.5" hidden="1"/>
    <row r="10394" ht="13.5" hidden="1"/>
    <row r="10395" ht="13.5" hidden="1"/>
    <row r="10396" ht="13.5" hidden="1"/>
    <row r="10397" ht="13.5" hidden="1"/>
    <row r="10398" ht="13.5" hidden="1"/>
    <row r="10399" ht="13.5" hidden="1"/>
    <row r="10400" ht="13.5" hidden="1"/>
    <row r="10401" ht="13.5" hidden="1"/>
    <row r="10402" ht="13.5" hidden="1"/>
    <row r="10403" ht="13.5" hidden="1"/>
    <row r="10404" ht="13.5" hidden="1"/>
    <row r="10405" ht="13.5" hidden="1"/>
    <row r="10406" ht="13.5" hidden="1"/>
    <row r="10407" ht="13.5" hidden="1"/>
    <row r="10408" ht="13.5" hidden="1"/>
    <row r="10409" ht="13.5" hidden="1"/>
    <row r="10410" ht="13.5" hidden="1"/>
    <row r="10411" ht="13.5" hidden="1"/>
    <row r="10412" ht="13.5" hidden="1"/>
    <row r="10413" ht="13.5" hidden="1"/>
    <row r="10414" ht="13.5" hidden="1"/>
    <row r="10415" ht="13.5" hidden="1"/>
    <row r="10416" ht="13.5" hidden="1"/>
    <row r="10417" ht="13.5" hidden="1"/>
    <row r="10418" ht="13.5" hidden="1"/>
    <row r="10419" ht="13.5" hidden="1"/>
    <row r="10420" ht="13.5" hidden="1"/>
    <row r="10421" ht="13.5" hidden="1"/>
    <row r="10422" ht="13.5" hidden="1"/>
    <row r="10423" ht="13.5" hidden="1"/>
    <row r="10424" ht="13.5" hidden="1"/>
    <row r="10425" ht="13.5" hidden="1"/>
    <row r="10426" ht="13.5" hidden="1"/>
    <row r="10427" ht="13.5" hidden="1"/>
    <row r="10428" ht="13.5" hidden="1"/>
    <row r="10429" ht="13.5" hidden="1"/>
    <row r="10430" ht="13.5" hidden="1"/>
    <row r="10431" ht="13.5" hidden="1"/>
    <row r="10432" ht="13.5" hidden="1"/>
    <row r="10433" ht="13.5" hidden="1"/>
    <row r="10434" ht="13.5" hidden="1"/>
    <row r="10435" ht="13.5" hidden="1"/>
    <row r="10436" ht="13.5" hidden="1"/>
    <row r="10437" ht="13.5" hidden="1"/>
    <row r="10438" ht="13.5" hidden="1"/>
    <row r="10439" ht="13.5" hidden="1"/>
    <row r="10440" ht="13.5" hidden="1"/>
    <row r="10441" ht="13.5" hidden="1"/>
    <row r="10442" ht="13.5" hidden="1"/>
    <row r="10443" ht="13.5" hidden="1"/>
    <row r="10444" ht="13.5" hidden="1"/>
    <row r="10445" ht="13.5" hidden="1"/>
    <row r="10446" ht="13.5" hidden="1"/>
    <row r="10447" ht="13.5" hidden="1"/>
    <row r="10448" ht="13.5" hidden="1"/>
    <row r="10449" ht="13.5" hidden="1"/>
    <row r="10450" ht="13.5" hidden="1"/>
    <row r="10451" ht="13.5" hidden="1"/>
    <row r="10452" ht="13.5" hidden="1"/>
    <row r="10453" ht="13.5" hidden="1"/>
    <row r="10454" ht="13.5" hidden="1"/>
    <row r="10455" ht="13.5" hidden="1"/>
    <row r="10456" ht="13.5" hidden="1"/>
    <row r="10457" ht="13.5" hidden="1"/>
    <row r="10458" ht="13.5" hidden="1"/>
    <row r="10459" ht="13.5" hidden="1"/>
    <row r="10460" ht="13.5" hidden="1"/>
    <row r="10461" ht="13.5" hidden="1"/>
    <row r="10462" ht="13.5" hidden="1"/>
    <row r="10463" ht="13.5" hidden="1"/>
    <row r="10464" ht="13.5" hidden="1"/>
    <row r="10465" ht="13.5" hidden="1"/>
    <row r="10466" ht="13.5" hidden="1"/>
    <row r="10467" ht="13.5" hidden="1"/>
    <row r="10468" ht="13.5" hidden="1"/>
    <row r="10469" ht="13.5" hidden="1"/>
    <row r="10470" ht="13.5" hidden="1"/>
    <row r="10471" ht="13.5" hidden="1"/>
    <row r="10472" ht="13.5" hidden="1"/>
    <row r="10473" ht="13.5" hidden="1"/>
    <row r="10474" ht="13.5" hidden="1"/>
    <row r="10475" ht="13.5" hidden="1"/>
    <row r="10476" ht="13.5" hidden="1"/>
    <row r="10477" ht="13.5" hidden="1"/>
    <row r="10478" ht="13.5" hidden="1"/>
    <row r="10479" ht="13.5" hidden="1"/>
    <row r="10480" ht="13.5" hidden="1"/>
    <row r="10481" ht="13.5" hidden="1"/>
    <row r="10482" ht="13.5" hidden="1"/>
    <row r="10483" ht="13.5" hidden="1"/>
    <row r="10484" ht="13.5" hidden="1"/>
    <row r="10485" ht="13.5" hidden="1"/>
    <row r="10486" ht="13.5" hidden="1"/>
    <row r="10487" ht="13.5" hidden="1"/>
    <row r="10488" ht="13.5" hidden="1"/>
    <row r="10489" ht="13.5" hidden="1"/>
    <row r="10490" ht="13.5" hidden="1"/>
    <row r="10491" ht="13.5" hidden="1"/>
    <row r="10492" ht="13.5" hidden="1"/>
    <row r="10493" ht="13.5" hidden="1"/>
    <row r="10494" ht="13.5" hidden="1"/>
    <row r="10495" ht="13.5" hidden="1"/>
    <row r="10496" ht="13.5" hidden="1"/>
    <row r="10497" ht="13.5" hidden="1"/>
    <row r="10498" ht="13.5" hidden="1"/>
    <row r="10499" ht="13.5" hidden="1"/>
    <row r="10500" ht="13.5" hidden="1"/>
    <row r="10501" ht="13.5" hidden="1"/>
    <row r="10502" ht="13.5" hidden="1"/>
    <row r="10503" ht="13.5" hidden="1"/>
    <row r="10504" ht="13.5" hidden="1"/>
    <row r="10505" ht="13.5" hidden="1"/>
    <row r="10506" ht="13.5" hidden="1"/>
    <row r="10507" ht="13.5" hidden="1"/>
    <row r="10508" ht="13.5" hidden="1"/>
    <row r="10509" ht="13.5" hidden="1"/>
    <row r="10510" ht="13.5" hidden="1"/>
    <row r="10511" ht="13.5" hidden="1"/>
    <row r="10512" ht="13.5" hidden="1"/>
    <row r="10513" ht="13.5" hidden="1"/>
    <row r="10514" ht="13.5" hidden="1"/>
    <row r="10515" ht="13.5" hidden="1"/>
    <row r="10516" ht="13.5" hidden="1"/>
    <row r="10517" ht="13.5" hidden="1"/>
    <row r="10518" ht="13.5" hidden="1"/>
    <row r="10519" ht="13.5" hidden="1"/>
    <row r="10520" ht="13.5" hidden="1"/>
    <row r="10521" ht="13.5" hidden="1"/>
    <row r="10522" ht="13.5" hidden="1"/>
    <row r="10523" ht="13.5" hidden="1"/>
    <row r="10524" ht="13.5" hidden="1"/>
    <row r="10525" ht="13.5" hidden="1"/>
    <row r="10526" ht="13.5" hidden="1"/>
    <row r="10527" ht="13.5" hidden="1"/>
    <row r="10528" ht="13.5" hidden="1"/>
    <row r="10529" ht="13.5" hidden="1"/>
    <row r="10530" ht="13.5" hidden="1"/>
    <row r="10531" ht="13.5" hidden="1"/>
    <row r="10532" ht="13.5" hidden="1"/>
    <row r="10533" ht="13.5" hidden="1"/>
    <row r="10534" ht="13.5" hidden="1"/>
    <row r="10535" ht="13.5" hidden="1"/>
    <row r="10536" ht="13.5" hidden="1"/>
    <row r="10537" ht="13.5" hidden="1"/>
    <row r="10538" ht="13.5" hidden="1"/>
    <row r="10539" ht="13.5" hidden="1"/>
    <row r="10540" ht="13.5" hidden="1"/>
    <row r="10541" ht="13.5" hidden="1"/>
    <row r="10542" ht="13.5" hidden="1"/>
    <row r="10543" ht="13.5" hidden="1"/>
    <row r="10544" ht="13.5" hidden="1"/>
    <row r="10545" ht="13.5" hidden="1"/>
    <row r="10546" ht="13.5" hidden="1"/>
    <row r="10547" ht="13.5" hidden="1"/>
    <row r="10548" ht="13.5" hidden="1"/>
    <row r="10549" ht="13.5" hidden="1"/>
    <row r="10550" ht="13.5" hidden="1"/>
    <row r="10551" ht="13.5" hidden="1"/>
    <row r="10552" ht="13.5" hidden="1"/>
    <row r="10553" ht="13.5" hidden="1"/>
    <row r="10554" ht="13.5" hidden="1"/>
    <row r="10555" ht="13.5" hidden="1"/>
    <row r="10556" ht="13.5" hidden="1"/>
    <row r="10557" ht="13.5" hidden="1"/>
    <row r="10558" ht="13.5" hidden="1"/>
    <row r="10559" ht="13.5" hidden="1"/>
    <row r="10560" ht="13.5" hidden="1"/>
    <row r="10561" ht="13.5" hidden="1"/>
    <row r="10562" ht="13.5" hidden="1"/>
    <row r="10563" ht="13.5" hidden="1"/>
    <row r="10564" ht="13.5" hidden="1"/>
    <row r="10565" ht="13.5" hidden="1"/>
    <row r="10566" ht="13.5" hidden="1"/>
    <row r="10567" ht="13.5" hidden="1"/>
    <row r="10568" ht="13.5" hidden="1"/>
    <row r="10569" ht="13.5" hidden="1"/>
    <row r="10570" ht="13.5" hidden="1"/>
    <row r="10571" ht="13.5" hidden="1"/>
    <row r="10572" ht="13.5" hidden="1"/>
    <row r="10573" ht="13.5" hidden="1"/>
    <row r="10574" ht="13.5" hidden="1"/>
    <row r="10575" ht="13.5" hidden="1"/>
    <row r="10576" ht="13.5" hidden="1"/>
    <row r="10577" ht="13.5" hidden="1"/>
    <row r="10578" ht="13.5" hidden="1"/>
    <row r="10579" ht="13.5" hidden="1"/>
    <row r="10580" ht="13.5" hidden="1"/>
    <row r="10581" ht="13.5" hidden="1"/>
    <row r="10582" ht="13.5" hidden="1"/>
    <row r="10583" ht="13.5" hidden="1"/>
    <row r="10584" ht="13.5" hidden="1"/>
    <row r="10585" ht="13.5" hidden="1"/>
    <row r="10586" ht="13.5" hidden="1"/>
    <row r="10587" ht="13.5" hidden="1"/>
    <row r="10588" ht="13.5" hidden="1"/>
    <row r="10589" ht="13.5" hidden="1"/>
    <row r="10590" ht="13.5" hidden="1"/>
    <row r="10591" ht="13.5" hidden="1"/>
    <row r="10592" ht="13.5" hidden="1"/>
    <row r="10593" ht="13.5" hidden="1"/>
    <row r="10594" ht="13.5" hidden="1"/>
    <row r="10595" ht="13.5" hidden="1"/>
    <row r="10596" ht="13.5" hidden="1"/>
    <row r="10597" ht="13.5" hidden="1"/>
    <row r="10598" ht="13.5" hidden="1"/>
    <row r="10599" ht="13.5" hidden="1"/>
    <row r="10600" ht="13.5" hidden="1"/>
    <row r="10601" ht="13.5" hidden="1"/>
    <row r="10602" ht="13.5" hidden="1"/>
    <row r="10603" ht="13.5" hidden="1"/>
    <row r="10604" ht="13.5" hidden="1"/>
    <row r="10605" ht="13.5" hidden="1"/>
    <row r="10606" ht="13.5" hidden="1"/>
    <row r="10607" ht="13.5" hidden="1"/>
    <row r="10608" ht="13.5" hidden="1"/>
    <row r="10609" ht="13.5" hidden="1"/>
    <row r="10610" ht="13.5" hidden="1"/>
    <row r="10611" ht="13.5" hidden="1"/>
    <row r="10612" ht="13.5" hidden="1"/>
    <row r="10613" ht="13.5" hidden="1"/>
    <row r="10614" ht="13.5" hidden="1"/>
    <row r="10615" ht="13.5" hidden="1"/>
    <row r="10616" ht="13.5" hidden="1"/>
    <row r="10617" ht="13.5" hidden="1"/>
    <row r="10618" ht="13.5" hidden="1"/>
    <row r="10619" ht="13.5" hidden="1"/>
    <row r="10620" ht="13.5" hidden="1"/>
    <row r="10621" ht="13.5" hidden="1"/>
    <row r="10622" ht="13.5" hidden="1"/>
    <row r="10623" ht="13.5" hidden="1"/>
    <row r="10624" ht="13.5" hidden="1"/>
    <row r="10625" ht="13.5" hidden="1"/>
    <row r="10626" ht="13.5" hidden="1"/>
    <row r="10627" ht="13.5" hidden="1"/>
    <row r="10628" ht="13.5" hidden="1"/>
    <row r="10629" ht="13.5" hidden="1"/>
    <row r="10630" ht="13.5" hidden="1"/>
    <row r="10631" ht="13.5" hidden="1"/>
    <row r="10632" ht="13.5" hidden="1"/>
    <row r="10633" ht="13.5" hidden="1"/>
    <row r="10634" ht="13.5" hidden="1"/>
    <row r="10635" ht="13.5" hidden="1"/>
    <row r="10636" ht="13.5" hidden="1"/>
    <row r="10637" ht="13.5" hidden="1"/>
    <row r="10638" ht="13.5" hidden="1"/>
    <row r="10639" ht="13.5" hidden="1"/>
    <row r="10640" ht="13.5" hidden="1"/>
    <row r="10641" ht="13.5" hidden="1"/>
    <row r="10642" ht="13.5" hidden="1"/>
    <row r="10643" ht="13.5" hidden="1"/>
    <row r="10644" ht="13.5" hidden="1"/>
    <row r="10645" ht="13.5" hidden="1"/>
    <row r="10646" ht="13.5" hidden="1"/>
    <row r="10647" ht="13.5" hidden="1"/>
    <row r="10648" ht="13.5" hidden="1"/>
    <row r="10649" ht="13.5" hidden="1"/>
    <row r="10650" ht="13.5" hidden="1"/>
    <row r="10651" ht="13.5" hidden="1"/>
    <row r="10652" ht="13.5" hidden="1"/>
    <row r="10653" ht="13.5" hidden="1"/>
    <row r="10654" ht="13.5" hidden="1"/>
    <row r="10655" ht="13.5" hidden="1"/>
    <row r="10656" ht="13.5" hidden="1"/>
    <row r="10657" ht="13.5" hidden="1"/>
    <row r="10658" ht="13.5" hidden="1"/>
    <row r="10659" ht="13.5" hidden="1"/>
    <row r="10660" ht="13.5" hidden="1"/>
    <row r="10661" ht="13.5" hidden="1"/>
    <row r="10662" ht="13.5" hidden="1"/>
    <row r="10663" ht="13.5" hidden="1"/>
    <row r="10664" ht="13.5" hidden="1"/>
    <row r="10665" ht="13.5" hidden="1"/>
    <row r="10666" ht="13.5" hidden="1"/>
    <row r="10667" ht="13.5" hidden="1"/>
    <row r="10668" ht="13.5" hidden="1"/>
    <row r="10669" ht="13.5" hidden="1"/>
    <row r="10670" ht="13.5" hidden="1"/>
    <row r="10671" ht="13.5" hidden="1"/>
    <row r="10672" ht="13.5" hidden="1"/>
    <row r="10673" ht="13.5" hidden="1"/>
    <row r="10674" ht="13.5" hidden="1"/>
    <row r="10675" ht="13.5" hidden="1"/>
    <row r="10676" ht="13.5" hidden="1"/>
    <row r="10677" ht="13.5" hidden="1"/>
    <row r="10678" ht="13.5" hidden="1"/>
    <row r="10679" ht="13.5" hidden="1"/>
    <row r="10680" ht="13.5" hidden="1"/>
    <row r="10681" ht="13.5" hidden="1"/>
    <row r="10682" ht="13.5" hidden="1"/>
    <row r="10683" ht="13.5" hidden="1"/>
    <row r="10684" ht="13.5" hidden="1"/>
    <row r="10685" ht="13.5" hidden="1"/>
    <row r="10686" ht="13.5" hidden="1"/>
    <row r="10687" ht="13.5" hidden="1"/>
    <row r="10688" ht="13.5" hidden="1"/>
    <row r="10689" ht="13.5" hidden="1"/>
    <row r="10690" ht="13.5" hidden="1"/>
    <row r="10691" ht="13.5" hidden="1"/>
    <row r="10692" ht="13.5" hidden="1"/>
    <row r="10693" ht="13.5" hidden="1"/>
    <row r="10694" ht="13.5" hidden="1"/>
    <row r="10695" ht="13.5" hidden="1"/>
    <row r="10696" ht="13.5" hidden="1"/>
    <row r="10697" ht="13.5" hidden="1"/>
    <row r="10698" ht="13.5" hidden="1"/>
    <row r="10699" ht="13.5" hidden="1"/>
    <row r="10700" ht="13.5" hidden="1"/>
    <row r="10701" ht="13.5" hidden="1"/>
    <row r="10702" ht="13.5" hidden="1"/>
    <row r="10703" ht="13.5" hidden="1"/>
    <row r="10704" ht="13.5" hidden="1"/>
    <row r="10705" ht="13.5" hidden="1"/>
    <row r="10706" ht="13.5" hidden="1"/>
    <row r="10707" ht="13.5" hidden="1"/>
    <row r="10708" ht="13.5" hidden="1"/>
    <row r="10709" ht="13.5" hidden="1"/>
    <row r="10710" ht="13.5" hidden="1"/>
    <row r="10711" ht="13.5" hidden="1"/>
    <row r="10712" ht="13.5" hidden="1"/>
    <row r="10713" ht="13.5" hidden="1"/>
    <row r="10714" ht="13.5" hidden="1"/>
    <row r="10715" ht="13.5" hidden="1"/>
    <row r="10716" ht="13.5" hidden="1"/>
    <row r="10717" ht="13.5" hidden="1"/>
    <row r="10718" ht="13.5" hidden="1"/>
    <row r="10719" ht="13.5" hidden="1"/>
    <row r="10720" ht="13.5" hidden="1"/>
    <row r="10721" ht="13.5" hidden="1"/>
    <row r="10722" ht="13.5" hidden="1"/>
    <row r="10723" ht="13.5" hidden="1"/>
    <row r="10724" ht="13.5" hidden="1"/>
    <row r="10725" ht="13.5" hidden="1"/>
    <row r="10726" ht="13.5" hidden="1"/>
    <row r="10727" ht="13.5" hidden="1"/>
    <row r="10728" ht="13.5" hidden="1"/>
    <row r="10729" ht="13.5" hidden="1"/>
    <row r="10730" ht="13.5" hidden="1"/>
    <row r="10731" ht="13.5" hidden="1"/>
    <row r="10732" ht="13.5" hidden="1"/>
    <row r="10733" ht="13.5" hidden="1"/>
    <row r="10734" ht="13.5" hidden="1"/>
    <row r="10735" ht="13.5" hidden="1"/>
    <row r="10736" ht="13.5" hidden="1"/>
    <row r="10737" ht="13.5" hidden="1"/>
    <row r="10738" ht="13.5" hidden="1"/>
    <row r="10739" ht="13.5" hidden="1"/>
    <row r="10740" ht="13.5" hidden="1"/>
    <row r="10741" ht="13.5" hidden="1"/>
    <row r="10742" ht="13.5" hidden="1"/>
    <row r="10743" ht="13.5" hidden="1"/>
    <row r="10744" ht="13.5" hidden="1"/>
    <row r="10745" ht="13.5" hidden="1"/>
    <row r="10746" ht="13.5" hidden="1"/>
    <row r="10747" ht="13.5" hidden="1"/>
    <row r="10748" ht="13.5" hidden="1"/>
    <row r="10749" ht="13.5" hidden="1"/>
    <row r="10750" ht="13.5" hidden="1"/>
    <row r="10751" ht="13.5" hidden="1"/>
    <row r="10752" ht="13.5" hidden="1"/>
    <row r="10753" ht="13.5" hidden="1"/>
    <row r="10754" ht="13.5" hidden="1"/>
    <row r="10755" ht="13.5" hidden="1"/>
    <row r="10756" ht="13.5" hidden="1"/>
    <row r="10757" ht="13.5" hidden="1"/>
    <row r="10758" ht="13.5" hidden="1"/>
    <row r="10759" ht="13.5" hidden="1"/>
    <row r="10760" ht="13.5" hidden="1"/>
    <row r="10761" ht="13.5" hidden="1"/>
    <row r="10762" ht="13.5" hidden="1"/>
    <row r="10763" ht="13.5" hidden="1"/>
    <row r="10764" ht="13.5" hidden="1"/>
    <row r="10765" ht="13.5" hidden="1"/>
    <row r="10766" ht="13.5" hidden="1"/>
    <row r="10767" ht="13.5" hidden="1"/>
    <row r="10768" ht="13.5" hidden="1"/>
    <row r="10769" ht="13.5" hidden="1"/>
    <row r="10770" ht="13.5" hidden="1"/>
    <row r="10771" ht="13.5" hidden="1"/>
    <row r="10772" ht="13.5" hidden="1"/>
    <row r="10773" ht="13.5" hidden="1"/>
    <row r="10774" ht="13.5" hidden="1"/>
    <row r="10775" ht="13.5" hidden="1"/>
    <row r="10776" ht="13.5" hidden="1"/>
    <row r="10777" ht="13.5" hidden="1"/>
    <row r="10778" ht="13.5" hidden="1"/>
    <row r="10779" ht="13.5" hidden="1"/>
    <row r="10780" ht="13.5" hidden="1"/>
    <row r="10781" ht="13.5" hidden="1"/>
    <row r="10782" ht="13.5" hidden="1"/>
    <row r="10783" ht="13.5" hidden="1"/>
    <row r="10784" ht="13.5" hidden="1"/>
    <row r="10785" ht="13.5" hidden="1"/>
    <row r="10786" ht="13.5" hidden="1"/>
    <row r="10787" ht="13.5" hidden="1"/>
    <row r="10788" ht="13.5" hidden="1"/>
    <row r="10789" ht="13.5" hidden="1"/>
    <row r="10790" ht="13.5" hidden="1"/>
    <row r="10791" ht="13.5" hidden="1"/>
    <row r="10792" ht="13.5" hidden="1"/>
    <row r="10793" ht="13.5" hidden="1"/>
    <row r="10794" ht="13.5" hidden="1"/>
    <row r="10795" ht="13.5" hidden="1"/>
    <row r="10796" ht="13.5" hidden="1"/>
    <row r="10797" ht="13.5" hidden="1"/>
    <row r="10798" ht="13.5" hidden="1"/>
    <row r="10799" ht="13.5" hidden="1"/>
    <row r="10800" ht="13.5" hidden="1"/>
    <row r="10801" ht="13.5" hidden="1"/>
    <row r="10802" ht="13.5" hidden="1"/>
    <row r="10803" ht="13.5" hidden="1"/>
    <row r="10804" ht="13.5" hidden="1"/>
    <row r="10805" ht="13.5" hidden="1"/>
    <row r="10806" ht="13.5" hidden="1"/>
    <row r="10807" ht="13.5" hidden="1"/>
    <row r="10808" ht="13.5" hidden="1"/>
    <row r="10809" ht="13.5" hidden="1"/>
    <row r="10810" ht="13.5" hidden="1"/>
    <row r="10811" ht="13.5" hidden="1"/>
    <row r="10812" ht="13.5" hidden="1"/>
    <row r="10813" ht="13.5" hidden="1"/>
    <row r="10814" ht="13.5" hidden="1"/>
    <row r="10815" ht="13.5" hidden="1"/>
    <row r="10816" ht="13.5" hidden="1"/>
    <row r="10817" ht="13.5" hidden="1"/>
    <row r="10818" ht="13.5" hidden="1"/>
    <row r="10819" ht="13.5" hidden="1"/>
    <row r="10820" ht="13.5" hidden="1"/>
    <row r="10821" ht="13.5" hidden="1"/>
    <row r="10822" ht="13.5" hidden="1"/>
    <row r="10823" ht="13.5" hidden="1"/>
    <row r="10824" ht="13.5" hidden="1"/>
    <row r="10825" ht="13.5" hidden="1"/>
    <row r="10826" ht="13.5" hidden="1"/>
    <row r="10827" ht="13.5" hidden="1"/>
    <row r="10828" ht="13.5" hidden="1"/>
    <row r="10829" ht="13.5" hidden="1"/>
    <row r="10830" ht="13.5" hidden="1"/>
    <row r="10831" ht="13.5" hidden="1"/>
    <row r="10832" ht="13.5" hidden="1"/>
    <row r="10833" ht="13.5" hidden="1"/>
    <row r="10834" ht="13.5" hidden="1"/>
    <row r="10835" ht="13.5" hidden="1"/>
    <row r="10836" ht="13.5" hidden="1"/>
    <row r="10837" ht="13.5" hidden="1"/>
    <row r="10838" ht="13.5" hidden="1"/>
    <row r="10839" ht="13.5" hidden="1"/>
    <row r="10840" ht="13.5" hidden="1"/>
    <row r="10841" ht="13.5" hidden="1"/>
    <row r="10842" ht="13.5" hidden="1"/>
    <row r="10843" ht="13.5" hidden="1"/>
    <row r="10844" ht="13.5" hidden="1"/>
    <row r="10845" ht="13.5" hidden="1"/>
    <row r="10846" ht="13.5" hidden="1"/>
    <row r="10847" ht="13.5" hidden="1"/>
    <row r="10848" ht="13.5" hidden="1"/>
    <row r="10849" ht="13.5" hidden="1"/>
    <row r="10850" ht="13.5" hidden="1"/>
    <row r="10851" ht="13.5" hidden="1"/>
    <row r="10852" ht="13.5" hidden="1"/>
    <row r="10853" ht="13.5" hidden="1"/>
    <row r="10854" ht="13.5" hidden="1"/>
    <row r="10855" ht="13.5" hidden="1"/>
    <row r="10856" ht="13.5" hidden="1"/>
    <row r="10857" ht="13.5" hidden="1"/>
    <row r="10858" ht="13.5" hidden="1"/>
    <row r="10859" ht="13.5" hidden="1"/>
    <row r="10860" ht="13.5" hidden="1"/>
    <row r="10861" ht="13.5" hidden="1"/>
    <row r="10862" ht="13.5" hidden="1"/>
    <row r="10863" ht="13.5" hidden="1"/>
    <row r="10864" ht="13.5" hidden="1"/>
    <row r="10865" ht="13.5" hidden="1"/>
    <row r="10866" ht="13.5" hidden="1"/>
    <row r="10867" ht="13.5" hidden="1"/>
    <row r="10868" ht="13.5" hidden="1"/>
    <row r="10869" ht="13.5" hidden="1"/>
    <row r="10870" ht="13.5" hidden="1"/>
    <row r="10871" ht="13.5" hidden="1"/>
    <row r="10872" ht="13.5" hidden="1"/>
    <row r="10873" ht="13.5" hidden="1"/>
    <row r="10874" ht="13.5" hidden="1"/>
    <row r="10875" ht="13.5" hidden="1"/>
    <row r="10876" ht="13.5" hidden="1"/>
    <row r="10877" ht="13.5" hidden="1"/>
    <row r="10878" ht="13.5" hidden="1"/>
    <row r="10879" ht="13.5" hidden="1"/>
    <row r="10880" ht="13.5" hidden="1"/>
    <row r="10881" ht="13.5" hidden="1"/>
    <row r="10882" ht="13.5" hidden="1"/>
    <row r="10883" ht="13.5" hidden="1"/>
    <row r="10884" ht="13.5" hidden="1"/>
    <row r="10885" ht="13.5" hidden="1"/>
    <row r="10886" ht="13.5" hidden="1"/>
    <row r="10887" ht="13.5" hidden="1"/>
    <row r="10888" ht="13.5" hidden="1"/>
    <row r="10889" ht="13.5" hidden="1"/>
    <row r="10890" ht="13.5" hidden="1"/>
    <row r="10891" ht="13.5" hidden="1"/>
    <row r="10892" ht="13.5" hidden="1"/>
    <row r="10893" ht="13.5" hidden="1"/>
    <row r="10894" ht="13.5" hidden="1"/>
    <row r="10895" ht="13.5" hidden="1"/>
    <row r="10896" ht="13.5" hidden="1"/>
    <row r="10897" ht="13.5" hidden="1"/>
    <row r="10898" ht="13.5" hidden="1"/>
    <row r="10899" ht="13.5" hidden="1"/>
    <row r="10900" ht="13.5" hidden="1"/>
    <row r="10901" ht="13.5" hidden="1"/>
    <row r="10902" ht="13.5" hidden="1"/>
    <row r="10903" ht="13.5" hidden="1"/>
    <row r="10904" ht="13.5" hidden="1"/>
    <row r="10905" ht="13.5" hidden="1"/>
    <row r="10906" ht="13.5" hidden="1"/>
    <row r="10907" ht="13.5" hidden="1"/>
    <row r="10908" ht="13.5" hidden="1"/>
    <row r="10909" ht="13.5" hidden="1"/>
    <row r="10910" ht="13.5" hidden="1"/>
    <row r="10911" ht="13.5" hidden="1"/>
    <row r="10912" ht="13.5" hidden="1"/>
    <row r="10913" ht="13.5" hidden="1"/>
    <row r="10914" ht="13.5" hidden="1"/>
    <row r="10915" ht="13.5" hidden="1"/>
    <row r="10916" ht="13.5" hidden="1"/>
    <row r="10917" ht="13.5" hidden="1"/>
    <row r="10918" ht="13.5" hidden="1"/>
    <row r="10919" ht="13.5" hidden="1"/>
    <row r="10920" ht="13.5" hidden="1"/>
    <row r="10921" ht="13.5" hidden="1"/>
    <row r="10922" ht="13.5" hidden="1"/>
    <row r="10923" ht="13.5" hidden="1"/>
    <row r="10924" ht="13.5" hidden="1"/>
    <row r="10925" ht="13.5" hidden="1"/>
    <row r="10926" ht="13.5" hidden="1"/>
    <row r="10927" ht="13.5" hidden="1"/>
    <row r="10928" ht="13.5" hidden="1"/>
    <row r="10929" ht="13.5" hidden="1"/>
    <row r="10930" ht="13.5" hidden="1"/>
    <row r="10931" ht="13.5" hidden="1"/>
    <row r="10932" ht="13.5" hidden="1"/>
    <row r="10933" ht="13.5" hidden="1"/>
    <row r="10934" ht="13.5" hidden="1"/>
    <row r="10935" ht="13.5" hidden="1"/>
    <row r="10936" ht="13.5" hidden="1"/>
    <row r="10937" ht="13.5" hidden="1"/>
    <row r="10938" ht="13.5" hidden="1"/>
    <row r="10939" ht="13.5" hidden="1"/>
    <row r="10940" ht="13.5" hidden="1"/>
    <row r="10941" ht="13.5" hidden="1"/>
    <row r="10942" ht="13.5" hidden="1"/>
    <row r="10943" ht="13.5" hidden="1"/>
    <row r="10944" ht="13.5" hidden="1"/>
    <row r="10945" ht="13.5" hidden="1"/>
    <row r="10946" ht="13.5" hidden="1"/>
    <row r="10947" ht="13.5" hidden="1"/>
    <row r="10948" ht="13.5" hidden="1"/>
    <row r="10949" ht="13.5" hidden="1"/>
    <row r="10950" ht="13.5" hidden="1"/>
    <row r="10951" ht="13.5" hidden="1"/>
    <row r="10952" ht="13.5" hidden="1"/>
    <row r="10953" ht="13.5" hidden="1"/>
    <row r="10954" ht="13.5" hidden="1"/>
    <row r="10955" ht="13.5" hidden="1"/>
    <row r="10956" ht="13.5" hidden="1"/>
    <row r="10957" ht="13.5" hidden="1"/>
    <row r="10958" ht="13.5" hidden="1"/>
    <row r="10959" ht="13.5" hidden="1"/>
    <row r="10960" ht="13.5" hidden="1"/>
    <row r="10961" ht="13.5" hidden="1"/>
    <row r="10962" ht="13.5" hidden="1"/>
    <row r="10963" ht="13.5" hidden="1"/>
    <row r="10964" ht="13.5" hidden="1"/>
    <row r="10965" ht="13.5" hidden="1"/>
    <row r="10966" ht="13.5" hidden="1"/>
    <row r="10967" ht="13.5" hidden="1"/>
    <row r="10968" ht="13.5" hidden="1"/>
    <row r="10969" ht="13.5" hidden="1"/>
    <row r="10970" ht="13.5" hidden="1"/>
    <row r="10971" ht="13.5" hidden="1"/>
    <row r="10972" ht="13.5" hidden="1"/>
    <row r="10973" ht="13.5" hidden="1"/>
    <row r="10974" ht="13.5" hidden="1"/>
    <row r="10975" ht="13.5" hidden="1"/>
    <row r="10976" ht="13.5" hidden="1"/>
    <row r="10977" ht="13.5" hidden="1"/>
    <row r="10978" ht="13.5" hidden="1"/>
    <row r="10979" ht="13.5" hidden="1"/>
    <row r="10980" ht="13.5" hidden="1"/>
    <row r="10981" ht="13.5" hidden="1"/>
    <row r="10982" ht="13.5" hidden="1"/>
    <row r="10983" ht="13.5" hidden="1"/>
    <row r="10984" ht="13.5" hidden="1"/>
    <row r="10985" ht="13.5" hidden="1"/>
    <row r="10986" ht="13.5" hidden="1"/>
    <row r="10987" ht="13.5" hidden="1"/>
    <row r="10988" ht="13.5" hidden="1"/>
    <row r="10989" ht="13.5" hidden="1"/>
    <row r="10990" ht="13.5" hidden="1"/>
    <row r="10991" ht="13.5" hidden="1"/>
    <row r="10992" ht="13.5" hidden="1"/>
    <row r="10993" ht="13.5" hidden="1"/>
    <row r="10994" ht="13.5" hidden="1"/>
    <row r="10995" ht="13.5" hidden="1"/>
    <row r="10996" ht="13.5" hidden="1"/>
    <row r="10997" ht="13.5" hidden="1"/>
    <row r="10998" ht="13.5" hidden="1"/>
    <row r="10999" ht="13.5" hidden="1"/>
    <row r="11000" ht="13.5" hidden="1"/>
    <row r="11001" ht="13.5" hidden="1"/>
    <row r="11002" ht="13.5" hidden="1"/>
    <row r="11003" ht="13.5" hidden="1"/>
    <row r="11004" ht="13.5" hidden="1"/>
    <row r="11005" ht="13.5" hidden="1"/>
    <row r="11006" ht="13.5" hidden="1"/>
    <row r="11007" ht="13.5" hidden="1"/>
    <row r="11008" ht="13.5" hidden="1"/>
    <row r="11009" ht="13.5" hidden="1"/>
    <row r="11010" ht="13.5" hidden="1"/>
    <row r="11011" ht="13.5" hidden="1"/>
    <row r="11012" ht="13.5" hidden="1"/>
    <row r="11013" ht="13.5" hidden="1"/>
    <row r="11014" ht="13.5" hidden="1"/>
    <row r="11015" ht="13.5" hidden="1"/>
    <row r="11016" ht="13.5" hidden="1"/>
    <row r="11017" ht="13.5" hidden="1"/>
    <row r="11018" ht="13.5" hidden="1"/>
    <row r="11019" ht="13.5" hidden="1"/>
    <row r="11020" ht="13.5" hidden="1"/>
    <row r="11021" ht="13.5" hidden="1"/>
    <row r="11022" ht="13.5" hidden="1"/>
    <row r="11023" ht="13.5" hidden="1"/>
    <row r="11024" ht="13.5" hidden="1"/>
    <row r="11025" ht="13.5" hidden="1"/>
    <row r="11026" ht="13.5" hidden="1"/>
    <row r="11027" ht="13.5" hidden="1"/>
    <row r="11028" ht="13.5" hidden="1"/>
    <row r="11029" ht="13.5" hidden="1"/>
    <row r="11030" ht="13.5" hidden="1"/>
    <row r="11031" ht="13.5" hidden="1"/>
    <row r="11032" ht="13.5" hidden="1"/>
    <row r="11033" ht="13.5" hidden="1"/>
    <row r="11034" ht="13.5" hidden="1"/>
    <row r="11035" ht="13.5" hidden="1"/>
    <row r="11036" ht="13.5" hidden="1"/>
    <row r="11037" ht="13.5" hidden="1"/>
    <row r="11038" ht="13.5" hidden="1"/>
    <row r="11039" ht="13.5" hidden="1"/>
    <row r="11040" ht="13.5" hidden="1"/>
    <row r="11041" ht="13.5" hidden="1"/>
    <row r="11042" ht="13.5" hidden="1"/>
    <row r="11043" ht="13.5" hidden="1"/>
    <row r="11044" ht="13.5" hidden="1"/>
    <row r="11045" ht="13.5" hidden="1"/>
    <row r="11046" ht="13.5" hidden="1"/>
    <row r="11047" ht="13.5" hidden="1"/>
    <row r="11048" ht="13.5" hidden="1"/>
    <row r="11049" ht="13.5" hidden="1"/>
    <row r="11050" ht="13.5" hidden="1"/>
    <row r="11051" ht="13.5" hidden="1"/>
    <row r="11052" ht="13.5" hidden="1"/>
    <row r="11053" ht="13.5" hidden="1"/>
    <row r="11054" ht="13.5" hidden="1"/>
    <row r="11055" ht="13.5" hidden="1"/>
    <row r="11056" ht="13.5" hidden="1"/>
    <row r="11057" ht="13.5" hidden="1"/>
    <row r="11058" ht="13.5" hidden="1"/>
    <row r="11059" ht="13.5" hidden="1"/>
    <row r="11060" ht="13.5" hidden="1"/>
    <row r="11061" ht="13.5" hidden="1"/>
    <row r="11062" ht="13.5" hidden="1"/>
    <row r="11063" ht="13.5" hidden="1"/>
    <row r="11064" ht="13.5" hidden="1"/>
    <row r="11065" ht="13.5" hidden="1"/>
    <row r="11066" ht="13.5" hidden="1"/>
    <row r="11067" ht="13.5" hidden="1"/>
    <row r="11068" ht="13.5" hidden="1"/>
    <row r="11069" ht="13.5" hidden="1"/>
    <row r="11070" ht="13.5" hidden="1"/>
    <row r="11071" ht="13.5" hidden="1"/>
    <row r="11072" ht="13.5" hidden="1"/>
    <row r="11073" ht="13.5" hidden="1"/>
    <row r="11074" ht="13.5" hidden="1"/>
    <row r="11075" ht="13.5" hidden="1"/>
    <row r="11076" ht="13.5" hidden="1"/>
    <row r="11077" ht="13.5" hidden="1"/>
    <row r="11078" ht="13.5" hidden="1"/>
    <row r="11079" ht="13.5" hidden="1"/>
    <row r="11080" ht="13.5" hidden="1"/>
    <row r="11081" ht="13.5" hidden="1"/>
    <row r="11082" ht="13.5" hidden="1"/>
    <row r="11083" ht="13.5" hidden="1"/>
    <row r="11084" ht="13.5" hidden="1"/>
    <row r="11085" ht="13.5" hidden="1"/>
    <row r="11086" ht="13.5" hidden="1"/>
    <row r="11087" ht="13.5" hidden="1"/>
    <row r="11088" ht="13.5" hidden="1"/>
    <row r="11089" ht="13.5" hidden="1"/>
    <row r="11090" ht="13.5" hidden="1"/>
    <row r="11091" ht="13.5" hidden="1"/>
    <row r="11092" ht="13.5" hidden="1"/>
    <row r="11093" ht="13.5" hidden="1"/>
    <row r="11094" ht="13.5" hidden="1"/>
    <row r="11095" ht="13.5" hidden="1"/>
    <row r="11096" ht="13.5" hidden="1"/>
    <row r="11097" ht="13.5" hidden="1"/>
    <row r="11098" ht="13.5" hidden="1"/>
    <row r="11099" ht="13.5" hidden="1"/>
    <row r="11100" ht="13.5" hidden="1"/>
    <row r="11101" ht="13.5" hidden="1"/>
    <row r="11102" ht="13.5" hidden="1"/>
    <row r="11103" ht="13.5" hidden="1"/>
    <row r="11104" ht="13.5" hidden="1"/>
    <row r="11105" ht="13.5" hidden="1"/>
    <row r="11106" ht="13.5" hidden="1"/>
    <row r="11107" ht="13.5" hidden="1"/>
    <row r="11108" ht="13.5" hidden="1"/>
    <row r="11109" ht="13.5" hidden="1"/>
    <row r="11110" ht="13.5" hidden="1"/>
    <row r="11111" ht="13.5" hidden="1"/>
    <row r="11112" ht="13.5" hidden="1"/>
    <row r="11113" ht="13.5" hidden="1"/>
    <row r="11114" ht="13.5" hidden="1"/>
    <row r="11115" ht="13.5" hidden="1"/>
    <row r="11116" ht="13.5" hidden="1"/>
    <row r="11117" ht="13.5" hidden="1"/>
    <row r="11118" ht="13.5" hidden="1"/>
    <row r="11119" ht="13.5" hidden="1"/>
    <row r="11120" ht="13.5" hidden="1"/>
    <row r="11121" ht="13.5" hidden="1"/>
    <row r="11122" ht="13.5" hidden="1"/>
    <row r="11123" ht="13.5" hidden="1"/>
    <row r="11124" ht="13.5" hidden="1"/>
    <row r="11125" ht="13.5" hidden="1"/>
    <row r="11126" ht="13.5" hidden="1"/>
    <row r="11127" ht="13.5" hidden="1"/>
    <row r="11128" ht="13.5" hidden="1"/>
    <row r="11129" ht="13.5" hidden="1"/>
    <row r="11130" ht="13.5" hidden="1"/>
    <row r="11131" ht="13.5" hidden="1"/>
    <row r="11132" ht="13.5" hidden="1"/>
    <row r="11133" ht="13.5" hidden="1"/>
    <row r="11134" ht="13.5" hidden="1"/>
    <row r="11135" ht="13.5" hidden="1"/>
    <row r="11136" ht="13.5" hidden="1"/>
    <row r="11137" ht="13.5" hidden="1"/>
    <row r="11138" ht="13.5" hidden="1"/>
    <row r="11139" ht="13.5" hidden="1"/>
    <row r="11140" ht="13.5" hidden="1"/>
    <row r="11141" ht="13.5" hidden="1"/>
    <row r="11142" ht="13.5" hidden="1"/>
    <row r="11143" ht="13.5" hidden="1"/>
    <row r="11144" ht="13.5" hidden="1"/>
    <row r="11145" ht="13.5" hidden="1"/>
    <row r="11146" ht="13.5" hidden="1"/>
    <row r="11147" ht="13.5" hidden="1"/>
    <row r="11148" ht="13.5" hidden="1"/>
    <row r="11149" ht="13.5" hidden="1"/>
    <row r="11150" ht="13.5" hidden="1"/>
    <row r="11151" ht="13.5" hidden="1"/>
    <row r="11152" ht="13.5" hidden="1"/>
    <row r="11153" ht="13.5" hidden="1"/>
    <row r="11154" ht="13.5" hidden="1"/>
    <row r="11155" ht="13.5" hidden="1"/>
    <row r="11156" ht="13.5" hidden="1"/>
    <row r="11157" ht="13.5" hidden="1"/>
    <row r="11158" ht="13.5" hidden="1"/>
    <row r="11159" ht="13.5" hidden="1"/>
    <row r="11160" ht="13.5" hidden="1"/>
    <row r="11161" ht="13.5" hidden="1"/>
    <row r="11162" ht="13.5" hidden="1"/>
    <row r="11163" ht="13.5" hidden="1"/>
    <row r="11164" ht="13.5" hidden="1"/>
    <row r="11165" ht="13.5" hidden="1"/>
    <row r="11166" ht="13.5" hidden="1"/>
    <row r="11167" ht="13.5" hidden="1"/>
    <row r="11168" ht="13.5" hidden="1"/>
    <row r="11169" ht="13.5" hidden="1"/>
    <row r="11170" ht="13.5" hidden="1"/>
    <row r="11171" ht="13.5" hidden="1"/>
    <row r="11172" ht="13.5" hidden="1"/>
    <row r="11173" ht="13.5" hidden="1"/>
    <row r="11174" ht="13.5" hidden="1"/>
    <row r="11175" ht="13.5" hidden="1"/>
    <row r="11176" ht="13.5" hidden="1"/>
    <row r="11177" ht="13.5" hidden="1"/>
    <row r="11178" ht="13.5" hidden="1"/>
    <row r="11179" ht="13.5" hidden="1"/>
    <row r="11180" ht="13.5" hidden="1"/>
    <row r="11181" ht="13.5" hidden="1"/>
    <row r="11182" ht="13.5" hidden="1"/>
    <row r="11183" ht="13.5" hidden="1"/>
    <row r="11184" ht="13.5" hidden="1"/>
    <row r="11185" ht="13.5" hidden="1"/>
    <row r="11186" ht="13.5" hidden="1"/>
    <row r="11187" ht="13.5" hidden="1"/>
    <row r="11188" ht="13.5" hidden="1"/>
    <row r="11189" ht="13.5" hidden="1"/>
    <row r="11190" ht="13.5" hidden="1"/>
    <row r="11191" ht="13.5" hidden="1"/>
    <row r="11192" ht="13.5" hidden="1"/>
    <row r="11193" ht="13.5" hidden="1"/>
    <row r="11194" ht="13.5" hidden="1"/>
    <row r="11195" ht="13.5" hidden="1"/>
    <row r="11196" ht="13.5" hidden="1"/>
    <row r="11197" ht="13.5" hidden="1"/>
    <row r="11198" ht="13.5" hidden="1"/>
    <row r="11199" ht="13.5" hidden="1"/>
    <row r="11200" ht="13.5" hidden="1"/>
    <row r="11201" ht="13.5" hidden="1"/>
    <row r="11202" ht="13.5" hidden="1"/>
    <row r="11203" ht="13.5" hidden="1"/>
    <row r="11204" ht="13.5" hidden="1"/>
    <row r="11205" ht="13.5" hidden="1"/>
    <row r="11206" ht="13.5" hidden="1"/>
    <row r="11207" ht="13.5" hidden="1"/>
    <row r="11208" ht="13.5" hidden="1"/>
    <row r="11209" ht="13.5" hidden="1"/>
    <row r="11210" ht="13.5" hidden="1"/>
    <row r="11211" ht="13.5" hidden="1"/>
    <row r="11212" ht="13.5" hidden="1"/>
    <row r="11213" ht="13.5" hidden="1"/>
    <row r="11214" ht="13.5" hidden="1"/>
    <row r="11215" ht="13.5" hidden="1"/>
    <row r="11216" ht="13.5" hidden="1"/>
    <row r="11217" ht="13.5" hidden="1"/>
    <row r="11218" ht="13.5" hidden="1"/>
    <row r="11219" ht="13.5" hidden="1"/>
    <row r="11220" ht="13.5" hidden="1"/>
    <row r="11221" ht="13.5" hidden="1"/>
    <row r="11222" ht="13.5" hidden="1"/>
    <row r="11223" ht="13.5" hidden="1"/>
    <row r="11224" ht="13.5" hidden="1"/>
    <row r="11225" ht="13.5" hidden="1"/>
    <row r="11226" ht="13.5" hidden="1"/>
    <row r="11227" ht="13.5" hidden="1"/>
    <row r="11228" ht="13.5" hidden="1"/>
    <row r="11229" ht="13.5" hidden="1"/>
    <row r="11230" ht="13.5" hidden="1"/>
    <row r="11231" ht="13.5" hidden="1"/>
    <row r="11232" ht="13.5" hidden="1"/>
    <row r="11233" ht="13.5" hidden="1"/>
    <row r="11234" ht="13.5" hidden="1"/>
    <row r="11235" ht="13.5" hidden="1"/>
    <row r="11236" ht="13.5" hidden="1"/>
    <row r="11237" ht="13.5" hidden="1"/>
    <row r="11238" ht="13.5" hidden="1"/>
    <row r="11239" ht="13.5" hidden="1"/>
    <row r="11240" ht="13.5" hidden="1"/>
    <row r="11241" ht="13.5" hidden="1"/>
    <row r="11242" ht="13.5" hidden="1"/>
    <row r="11243" ht="13.5" hidden="1"/>
    <row r="11244" ht="13.5" hidden="1"/>
    <row r="11245" ht="13.5" hidden="1"/>
    <row r="11246" ht="13.5" hidden="1"/>
    <row r="11247" ht="13.5" hidden="1"/>
    <row r="11248" ht="13.5" hidden="1"/>
    <row r="11249" ht="13.5" hidden="1"/>
    <row r="11250" ht="13.5" hidden="1"/>
    <row r="11251" ht="13.5" hidden="1"/>
    <row r="11252" ht="13.5" hidden="1"/>
    <row r="11253" ht="13.5" hidden="1"/>
    <row r="11254" ht="13.5" hidden="1"/>
    <row r="11255" ht="13.5" hidden="1"/>
    <row r="11256" ht="13.5" hidden="1"/>
    <row r="11257" ht="13.5" hidden="1"/>
    <row r="11258" ht="13.5" hidden="1"/>
    <row r="11259" ht="13.5" hidden="1"/>
    <row r="11260" ht="13.5" hidden="1"/>
    <row r="11261" ht="13.5" hidden="1"/>
    <row r="11262" ht="13.5" hidden="1"/>
    <row r="11263" ht="13.5" hidden="1"/>
    <row r="11264" ht="13.5" hidden="1"/>
    <row r="11265" ht="13.5" hidden="1"/>
    <row r="11266" ht="13.5" hidden="1"/>
    <row r="11267" ht="13.5" hidden="1"/>
    <row r="11268" ht="13.5" hidden="1"/>
    <row r="11269" ht="13.5" hidden="1"/>
    <row r="11270" ht="13.5" hidden="1"/>
    <row r="11271" ht="13.5" hidden="1"/>
    <row r="11272" ht="13.5" hidden="1"/>
    <row r="11273" ht="13.5" hidden="1"/>
    <row r="11274" ht="13.5" hidden="1"/>
    <row r="11275" ht="13.5" hidden="1"/>
    <row r="11276" ht="13.5" hidden="1"/>
    <row r="11277" ht="13.5" hidden="1"/>
    <row r="11278" ht="13.5" hidden="1"/>
    <row r="11279" ht="13.5" hidden="1"/>
    <row r="11280" ht="13.5" hidden="1"/>
    <row r="11281" ht="13.5" hidden="1"/>
    <row r="11282" ht="13.5" hidden="1"/>
    <row r="11283" ht="13.5" hidden="1"/>
    <row r="11284" ht="13.5" hidden="1"/>
    <row r="11285" ht="13.5" hidden="1"/>
    <row r="11286" ht="13.5" hidden="1"/>
    <row r="11287" ht="13.5" hidden="1"/>
    <row r="11288" ht="13.5" hidden="1"/>
    <row r="11289" ht="13.5" hidden="1"/>
    <row r="11290" ht="13.5" hidden="1"/>
    <row r="11291" ht="13.5" hidden="1"/>
    <row r="11292" ht="13.5" hidden="1"/>
    <row r="11293" ht="13.5" hidden="1"/>
    <row r="11294" ht="13.5" hidden="1"/>
    <row r="11295" ht="13.5" hidden="1"/>
    <row r="11296" ht="13.5" hidden="1"/>
    <row r="11297" ht="13.5" hidden="1"/>
    <row r="11298" ht="13.5" hidden="1"/>
    <row r="11299" ht="13.5" hidden="1"/>
    <row r="11300" ht="13.5" hidden="1"/>
    <row r="11301" ht="13.5" hidden="1"/>
    <row r="11302" ht="13.5" hidden="1"/>
    <row r="11303" ht="13.5" hidden="1"/>
    <row r="11304" ht="13.5" hidden="1"/>
    <row r="11305" ht="13.5" hidden="1"/>
    <row r="11306" ht="13.5" hidden="1"/>
    <row r="11307" ht="13.5" hidden="1"/>
    <row r="11308" ht="13.5" hidden="1"/>
    <row r="11309" ht="13.5" hidden="1"/>
    <row r="11310" ht="13.5" hidden="1"/>
    <row r="11311" ht="13.5" hidden="1"/>
    <row r="11312" ht="13.5" hidden="1"/>
    <row r="11313" ht="13.5" hidden="1"/>
    <row r="11314" ht="13.5" hidden="1"/>
    <row r="11315" ht="13.5" hidden="1"/>
    <row r="11316" ht="13.5" hidden="1"/>
    <row r="11317" ht="13.5" hidden="1"/>
    <row r="11318" ht="13.5" hidden="1"/>
    <row r="11319" ht="13.5" hidden="1"/>
    <row r="11320" ht="13.5" hidden="1"/>
    <row r="11321" ht="13.5" hidden="1"/>
    <row r="11322" ht="13.5" hidden="1"/>
    <row r="11323" ht="13.5" hidden="1"/>
    <row r="11324" ht="13.5" hidden="1"/>
    <row r="11325" ht="13.5" hidden="1"/>
    <row r="11326" ht="13.5" hidden="1"/>
    <row r="11327" ht="13.5" hidden="1"/>
    <row r="11328" ht="13.5" hidden="1"/>
    <row r="11329" ht="13.5" hidden="1"/>
    <row r="11330" ht="13.5" hidden="1"/>
    <row r="11331" ht="13.5" hidden="1"/>
    <row r="11332" ht="13.5" hidden="1"/>
    <row r="11333" ht="13.5" hidden="1"/>
    <row r="11334" ht="13.5" hidden="1"/>
    <row r="11335" ht="13.5" hidden="1"/>
    <row r="11336" ht="13.5" hidden="1"/>
    <row r="11337" ht="13.5" hidden="1"/>
    <row r="11338" ht="13.5" hidden="1"/>
    <row r="11339" ht="13.5" hidden="1"/>
    <row r="11340" ht="13.5" hidden="1"/>
    <row r="11341" ht="13.5" hidden="1"/>
    <row r="11342" ht="13.5" hidden="1"/>
    <row r="11343" ht="13.5" hidden="1"/>
    <row r="11344" ht="13.5" hidden="1"/>
    <row r="11345" ht="13.5" hidden="1"/>
    <row r="11346" ht="13.5" hidden="1"/>
    <row r="11347" ht="13.5" hidden="1"/>
    <row r="11348" ht="13.5" hidden="1"/>
    <row r="11349" ht="13.5" hidden="1"/>
    <row r="11350" ht="13.5" hidden="1"/>
    <row r="11351" ht="13.5" hidden="1"/>
    <row r="11352" ht="13.5" hidden="1"/>
    <row r="11353" ht="13.5" hidden="1"/>
    <row r="11354" ht="13.5" hidden="1"/>
    <row r="11355" ht="13.5" hidden="1"/>
    <row r="11356" ht="13.5" hidden="1"/>
    <row r="11357" ht="13.5" hidden="1"/>
    <row r="11358" ht="13.5" hidden="1"/>
    <row r="11359" ht="13.5" hidden="1"/>
    <row r="11360" ht="13.5" hidden="1"/>
    <row r="11361" ht="13.5" hidden="1"/>
    <row r="11362" ht="13.5" hidden="1"/>
    <row r="11363" ht="13.5" hidden="1"/>
    <row r="11364" ht="13.5" hidden="1"/>
    <row r="11365" ht="13.5" hidden="1"/>
    <row r="11366" ht="13.5" hidden="1"/>
    <row r="11367" ht="13.5" hidden="1"/>
    <row r="11368" ht="13.5" hidden="1"/>
    <row r="11369" ht="13.5" hidden="1"/>
    <row r="11370" ht="13.5" hidden="1"/>
    <row r="11371" ht="13.5" hidden="1"/>
    <row r="11372" ht="13.5" hidden="1"/>
    <row r="11373" ht="13.5" hidden="1"/>
    <row r="11374" ht="13.5" hidden="1"/>
    <row r="11375" ht="13.5" hidden="1"/>
    <row r="11376" ht="13.5" hidden="1"/>
    <row r="11377" ht="13.5" hidden="1"/>
    <row r="11378" ht="13.5" hidden="1"/>
    <row r="11379" ht="13.5" hidden="1"/>
    <row r="11380" ht="13.5" hidden="1"/>
    <row r="11381" ht="13.5" hidden="1"/>
    <row r="11382" ht="13.5" hidden="1"/>
    <row r="11383" ht="13.5" hidden="1"/>
    <row r="11384" ht="13.5" hidden="1"/>
    <row r="11385" ht="13.5" hidden="1"/>
    <row r="11386" ht="13.5" hidden="1"/>
    <row r="11387" ht="13.5" hidden="1"/>
    <row r="11388" ht="13.5" hidden="1"/>
    <row r="11389" ht="13.5" hidden="1"/>
    <row r="11390" ht="13.5" hidden="1"/>
    <row r="11391" ht="13.5" hidden="1"/>
    <row r="11392" ht="13.5" hidden="1"/>
    <row r="11393" ht="13.5" hidden="1"/>
    <row r="11394" ht="13.5" hidden="1"/>
    <row r="11395" ht="13.5" hidden="1"/>
    <row r="11396" ht="13.5" hidden="1"/>
    <row r="11397" ht="13.5" hidden="1"/>
    <row r="11398" ht="13.5" hidden="1"/>
    <row r="11399" ht="13.5" hidden="1"/>
    <row r="11400" ht="13.5" hidden="1"/>
    <row r="11401" ht="13.5" hidden="1"/>
    <row r="11402" ht="13.5" hidden="1"/>
    <row r="11403" ht="13.5" hidden="1"/>
    <row r="11404" ht="13.5" hidden="1"/>
    <row r="11405" ht="13.5" hidden="1"/>
    <row r="11406" ht="13.5" hidden="1"/>
    <row r="11407" ht="13.5" hidden="1"/>
    <row r="11408" ht="13.5" hidden="1"/>
    <row r="11409" ht="13.5" hidden="1"/>
    <row r="11410" ht="13.5" hidden="1"/>
    <row r="11411" ht="13.5" hidden="1"/>
    <row r="11412" ht="13.5" hidden="1"/>
    <row r="11413" ht="13.5" hidden="1"/>
    <row r="11414" ht="13.5" hidden="1"/>
    <row r="11415" ht="13.5" hidden="1"/>
    <row r="11416" ht="13.5" hidden="1"/>
    <row r="11417" ht="13.5" hidden="1"/>
    <row r="11418" ht="13.5" hidden="1"/>
    <row r="11419" ht="13.5" hidden="1"/>
    <row r="11420" ht="13.5" hidden="1"/>
    <row r="11421" ht="13.5" hidden="1"/>
    <row r="11422" ht="13.5" hidden="1"/>
    <row r="11423" ht="13.5" hidden="1"/>
    <row r="11424" ht="13.5" hidden="1"/>
    <row r="11425" ht="13.5" hidden="1"/>
    <row r="11426" ht="13.5" hidden="1"/>
    <row r="11427" ht="13.5" hidden="1"/>
    <row r="11428" ht="13.5" hidden="1"/>
    <row r="11429" ht="13.5" hidden="1"/>
    <row r="11430" ht="13.5" hidden="1"/>
    <row r="11431" ht="13.5" hidden="1"/>
    <row r="11432" ht="13.5" hidden="1"/>
    <row r="11433" ht="13.5" hidden="1"/>
    <row r="11434" ht="13.5" hidden="1"/>
    <row r="11435" ht="13.5" hidden="1"/>
    <row r="11436" ht="13.5" hidden="1"/>
    <row r="11437" ht="13.5" hidden="1"/>
    <row r="11438" ht="13.5" hidden="1"/>
    <row r="11439" ht="13.5" hidden="1"/>
    <row r="11440" ht="13.5" hidden="1"/>
    <row r="11441" ht="13.5" hidden="1"/>
    <row r="11442" ht="13.5" hidden="1"/>
    <row r="11443" ht="13.5" hidden="1"/>
    <row r="11444" ht="13.5" hidden="1"/>
    <row r="11445" ht="13.5" hidden="1"/>
    <row r="11446" ht="13.5" hidden="1"/>
    <row r="11447" ht="13.5" hidden="1"/>
    <row r="11448" ht="13.5" hidden="1"/>
    <row r="11449" ht="13.5" hidden="1"/>
    <row r="11450" ht="13.5" hidden="1"/>
    <row r="11451" ht="13.5" hidden="1"/>
    <row r="11452" ht="13.5" hidden="1"/>
    <row r="11453" ht="13.5" hidden="1"/>
    <row r="11454" ht="13.5" hidden="1"/>
    <row r="11455" ht="13.5" hidden="1"/>
    <row r="11456" ht="13.5" hidden="1"/>
    <row r="11457" ht="13.5" hidden="1"/>
    <row r="11458" ht="13.5" hidden="1"/>
    <row r="11459" ht="13.5" hidden="1"/>
    <row r="11460" ht="13.5" hidden="1"/>
    <row r="11461" ht="13.5" hidden="1"/>
    <row r="11462" ht="13.5" hidden="1"/>
    <row r="11463" ht="13.5" hidden="1"/>
    <row r="11464" ht="13.5" hidden="1"/>
    <row r="11465" ht="13.5" hidden="1"/>
    <row r="11466" ht="13.5" hidden="1"/>
    <row r="11467" ht="13.5" hidden="1"/>
    <row r="11468" ht="13.5" hidden="1"/>
    <row r="11469" ht="13.5" hidden="1"/>
    <row r="11470" ht="13.5" hidden="1"/>
    <row r="11471" ht="13.5" hidden="1"/>
    <row r="11472" ht="13.5" hidden="1"/>
    <row r="11473" ht="13.5" hidden="1"/>
    <row r="11474" ht="13.5" hidden="1"/>
    <row r="11475" ht="13.5" hidden="1"/>
    <row r="11476" ht="13.5" hidden="1"/>
    <row r="11477" ht="13.5" hidden="1"/>
    <row r="11478" ht="13.5" hidden="1"/>
    <row r="11479" ht="13.5" hidden="1"/>
    <row r="11480" ht="13.5" hidden="1"/>
    <row r="11481" ht="13.5" hidden="1"/>
    <row r="11482" ht="13.5" hidden="1"/>
    <row r="11483" ht="13.5" hidden="1"/>
    <row r="11484" ht="13.5" hidden="1"/>
    <row r="11485" ht="13.5" hidden="1"/>
    <row r="11486" ht="13.5" hidden="1"/>
    <row r="11487" ht="13.5" hidden="1"/>
    <row r="11488" ht="13.5" hidden="1"/>
    <row r="11489" ht="13.5" hidden="1"/>
    <row r="11490" ht="13.5" hidden="1"/>
    <row r="11491" ht="13.5" hidden="1"/>
    <row r="11492" ht="13.5" hidden="1"/>
    <row r="11493" ht="13.5" hidden="1"/>
    <row r="11494" ht="13.5" hidden="1"/>
    <row r="11495" ht="13.5" hidden="1"/>
    <row r="11496" ht="13.5" hidden="1"/>
    <row r="11497" ht="13.5" hidden="1"/>
    <row r="11498" ht="13.5" hidden="1"/>
    <row r="11499" ht="13.5" hidden="1"/>
    <row r="11500" ht="13.5" hidden="1"/>
    <row r="11501" ht="13.5" hidden="1"/>
    <row r="11502" ht="13.5" hidden="1"/>
    <row r="11503" ht="13.5" hidden="1"/>
    <row r="11504" ht="13.5" hidden="1"/>
    <row r="11505" ht="13.5" hidden="1"/>
    <row r="11506" ht="13.5" hidden="1"/>
    <row r="11507" ht="13.5" hidden="1"/>
    <row r="11508" ht="13.5" hidden="1"/>
    <row r="11509" ht="13.5" hidden="1"/>
    <row r="11510" ht="13.5" hidden="1"/>
    <row r="11511" ht="13.5" hidden="1"/>
    <row r="11512" ht="13.5" hidden="1"/>
    <row r="11513" ht="13.5" hidden="1"/>
    <row r="11514" ht="13.5" hidden="1"/>
    <row r="11515" ht="13.5" hidden="1"/>
    <row r="11516" ht="13.5" hidden="1"/>
    <row r="11517" ht="13.5" hidden="1"/>
    <row r="11518" ht="13.5" hidden="1"/>
    <row r="11519" ht="13.5" hidden="1"/>
    <row r="11520" ht="13.5" hidden="1"/>
    <row r="11521" ht="13.5" hidden="1"/>
    <row r="11522" ht="13.5" hidden="1"/>
    <row r="11523" ht="13.5" hidden="1"/>
    <row r="11524" ht="13.5" hidden="1"/>
    <row r="11525" ht="13.5" hidden="1"/>
    <row r="11526" ht="13.5" hidden="1"/>
    <row r="11527" ht="13.5" hidden="1"/>
    <row r="11528" ht="13.5" hidden="1"/>
    <row r="11529" ht="13.5" hidden="1"/>
    <row r="11530" ht="13.5" hidden="1"/>
    <row r="11531" ht="13.5" hidden="1"/>
    <row r="11532" ht="13.5" hidden="1"/>
    <row r="11533" ht="13.5" hidden="1"/>
    <row r="11534" ht="13.5" hidden="1"/>
    <row r="11535" ht="13.5" hidden="1"/>
    <row r="11536" ht="13.5" hidden="1"/>
    <row r="11537" ht="13.5" hidden="1"/>
    <row r="11538" ht="13.5" hidden="1"/>
    <row r="11539" ht="13.5" hidden="1"/>
    <row r="11540" ht="13.5" hidden="1"/>
    <row r="11541" ht="13.5" hidden="1"/>
    <row r="11542" ht="13.5" hidden="1"/>
    <row r="11543" ht="13.5" hidden="1"/>
    <row r="11544" ht="13.5" hidden="1"/>
    <row r="11545" ht="13.5" hidden="1"/>
    <row r="11546" ht="13.5" hidden="1"/>
    <row r="11547" ht="13.5" hidden="1"/>
    <row r="11548" ht="13.5" hidden="1"/>
    <row r="11549" ht="13.5" hidden="1"/>
    <row r="11550" ht="13.5" hidden="1"/>
    <row r="11551" ht="13.5" hidden="1"/>
    <row r="11552" ht="13.5" hidden="1"/>
    <row r="11553" ht="13.5" hidden="1"/>
    <row r="11554" ht="13.5" hidden="1"/>
    <row r="11555" ht="13.5" hidden="1"/>
    <row r="11556" ht="13.5" hidden="1"/>
    <row r="11557" ht="13.5" hidden="1"/>
    <row r="11558" ht="13.5" hidden="1"/>
    <row r="11559" ht="13.5" hidden="1"/>
    <row r="11560" ht="13.5" hidden="1"/>
    <row r="11561" ht="13.5" hidden="1"/>
    <row r="11562" ht="13.5" hidden="1"/>
    <row r="11563" ht="13.5" hidden="1"/>
    <row r="11564" ht="13.5" hidden="1"/>
    <row r="11565" ht="13.5" hidden="1"/>
    <row r="11566" ht="13.5" hidden="1"/>
    <row r="11567" ht="13.5" hidden="1"/>
    <row r="11568" ht="13.5" hidden="1"/>
    <row r="11569" ht="13.5" hidden="1"/>
    <row r="11570" ht="13.5" hidden="1"/>
    <row r="11571" ht="13.5" hidden="1"/>
    <row r="11572" ht="13.5" hidden="1"/>
    <row r="11573" ht="13.5" hidden="1"/>
    <row r="11574" ht="13.5" hidden="1"/>
    <row r="11575" ht="13.5" hidden="1"/>
    <row r="11576" ht="13.5" hidden="1"/>
    <row r="11577" ht="13.5" hidden="1"/>
    <row r="11578" ht="13.5" hidden="1"/>
    <row r="11579" ht="13.5" hidden="1"/>
    <row r="11580" ht="13.5" hidden="1"/>
    <row r="11581" ht="13.5" hidden="1"/>
    <row r="11582" ht="13.5" hidden="1"/>
    <row r="11583" ht="13.5" hidden="1"/>
    <row r="11584" ht="13.5" hidden="1"/>
    <row r="11585" ht="13.5" hidden="1"/>
    <row r="11586" ht="13.5" hidden="1"/>
    <row r="11587" ht="13.5" hidden="1"/>
    <row r="11588" ht="13.5" hidden="1"/>
    <row r="11589" ht="13.5" hidden="1"/>
    <row r="11590" ht="13.5" hidden="1"/>
    <row r="11591" ht="13.5" hidden="1"/>
    <row r="11592" ht="13.5" hidden="1"/>
    <row r="11593" ht="13.5" hidden="1"/>
    <row r="11594" ht="13.5" hidden="1"/>
    <row r="11595" ht="13.5" hidden="1"/>
    <row r="11596" ht="13.5" hidden="1"/>
    <row r="11597" ht="13.5" hidden="1"/>
    <row r="11598" ht="13.5" hidden="1"/>
    <row r="11599" ht="13.5" hidden="1"/>
    <row r="11600" ht="13.5" hidden="1"/>
    <row r="11601" ht="13.5" hidden="1"/>
    <row r="11602" ht="13.5" hidden="1"/>
    <row r="11603" ht="13.5" hidden="1"/>
    <row r="11604" ht="13.5" hidden="1"/>
    <row r="11605" ht="13.5" hidden="1"/>
    <row r="11606" ht="13.5" hidden="1"/>
    <row r="11607" ht="13.5" hidden="1"/>
    <row r="11608" ht="13.5" hidden="1"/>
    <row r="11609" ht="13.5" hidden="1"/>
    <row r="11610" ht="13.5" hidden="1"/>
    <row r="11611" ht="13.5" hidden="1"/>
    <row r="11612" ht="13.5" hidden="1"/>
    <row r="11613" ht="13.5" hidden="1"/>
    <row r="11614" ht="13.5" hidden="1"/>
    <row r="11615" ht="13.5" hidden="1"/>
    <row r="11616" ht="13.5" hidden="1"/>
    <row r="11617" ht="13.5" hidden="1"/>
    <row r="11618" ht="13.5" hidden="1"/>
    <row r="11619" ht="13.5" hidden="1"/>
    <row r="11620" ht="13.5" hidden="1"/>
    <row r="11621" ht="13.5" hidden="1"/>
    <row r="11622" ht="13.5" hidden="1"/>
    <row r="11623" ht="13.5" hidden="1"/>
    <row r="11624" ht="13.5" hidden="1"/>
    <row r="11625" ht="13.5" hidden="1"/>
    <row r="11626" ht="13.5" hidden="1"/>
    <row r="11627" ht="13.5" hidden="1"/>
    <row r="11628" ht="13.5" hidden="1"/>
    <row r="11629" ht="13.5" hidden="1"/>
    <row r="11630" ht="13.5" hidden="1"/>
    <row r="11631" ht="13.5" hidden="1"/>
    <row r="11632" ht="13.5" hidden="1"/>
    <row r="11633" ht="13.5" hidden="1"/>
    <row r="11634" ht="13.5" hidden="1"/>
    <row r="11635" ht="13.5" hidden="1"/>
    <row r="11636" ht="13.5" hidden="1"/>
    <row r="11637" ht="13.5" hidden="1"/>
    <row r="11638" ht="13.5" hidden="1"/>
    <row r="11639" ht="13.5" hidden="1"/>
    <row r="11640" ht="13.5" hidden="1"/>
    <row r="11641" ht="13.5" hidden="1"/>
    <row r="11642" ht="13.5" hidden="1"/>
    <row r="11643" ht="13.5" hidden="1"/>
    <row r="11644" ht="13.5" hidden="1"/>
    <row r="11645" ht="13.5" hidden="1"/>
    <row r="11646" ht="13.5" hidden="1"/>
    <row r="11647" ht="13.5" hidden="1"/>
    <row r="11648" ht="13.5" hidden="1"/>
    <row r="11649" ht="13.5" hidden="1"/>
    <row r="11650" ht="13.5" hidden="1"/>
    <row r="11651" ht="13.5" hidden="1"/>
    <row r="11652" ht="13.5" hidden="1"/>
    <row r="11653" ht="13.5" hidden="1"/>
    <row r="11654" ht="13.5" hidden="1"/>
    <row r="11655" ht="13.5" hidden="1"/>
    <row r="11656" ht="13.5" hidden="1"/>
    <row r="11657" ht="13.5" hidden="1"/>
    <row r="11658" ht="13.5" hidden="1"/>
    <row r="11659" ht="13.5" hidden="1"/>
    <row r="11660" ht="13.5" hidden="1"/>
    <row r="11661" ht="13.5" hidden="1"/>
    <row r="11662" ht="13.5" hidden="1"/>
    <row r="11663" ht="13.5" hidden="1"/>
    <row r="11664" ht="13.5" hidden="1"/>
    <row r="11665" ht="13.5" hidden="1"/>
    <row r="11666" ht="13.5" hidden="1"/>
    <row r="11667" ht="13.5" hidden="1"/>
    <row r="11668" ht="13.5" hidden="1"/>
    <row r="11669" ht="13.5" hidden="1"/>
    <row r="11670" ht="13.5" hidden="1"/>
    <row r="11671" ht="13.5" hidden="1"/>
    <row r="11672" ht="13.5" hidden="1"/>
    <row r="11673" ht="13.5" hidden="1"/>
    <row r="11674" ht="13.5" hidden="1"/>
    <row r="11675" ht="13.5" hidden="1"/>
    <row r="11676" ht="13.5" hidden="1"/>
    <row r="11677" ht="13.5" hidden="1"/>
    <row r="11678" ht="13.5" hidden="1"/>
    <row r="11679" ht="13.5" hidden="1"/>
    <row r="11680" ht="13.5" hidden="1"/>
    <row r="11681" ht="13.5" hidden="1"/>
    <row r="11682" ht="13.5" hidden="1"/>
    <row r="11683" ht="13.5" hidden="1"/>
    <row r="11684" ht="13.5" hidden="1"/>
    <row r="11685" ht="13.5" hidden="1"/>
    <row r="11686" ht="13.5" hidden="1"/>
    <row r="11687" ht="13.5" hidden="1"/>
    <row r="11688" ht="13.5" hidden="1"/>
    <row r="11689" ht="13.5" hidden="1"/>
    <row r="11690" ht="13.5" hidden="1"/>
    <row r="11691" ht="13.5" hidden="1"/>
    <row r="11692" ht="13.5" hidden="1"/>
    <row r="11693" ht="13.5" hidden="1"/>
    <row r="11694" ht="13.5" hidden="1"/>
    <row r="11695" ht="13.5" hidden="1"/>
    <row r="11696" ht="13.5" hidden="1"/>
    <row r="11697" ht="13.5" hidden="1"/>
    <row r="11698" ht="13.5" hidden="1"/>
    <row r="11699" ht="13.5" hidden="1"/>
    <row r="11700" ht="13.5" hidden="1"/>
    <row r="11701" ht="13.5" hidden="1"/>
    <row r="11702" ht="13.5" hidden="1"/>
    <row r="11703" ht="13.5" hidden="1"/>
    <row r="11704" ht="13.5" hidden="1"/>
    <row r="11705" ht="13.5" hidden="1"/>
    <row r="11706" ht="13.5" hidden="1"/>
    <row r="11707" ht="13.5" hidden="1"/>
    <row r="11708" ht="13.5" hidden="1"/>
    <row r="11709" ht="13.5" hidden="1"/>
    <row r="11710" ht="13.5" hidden="1"/>
    <row r="11711" ht="13.5" hidden="1"/>
    <row r="11712" ht="13.5" hidden="1"/>
    <row r="11713" ht="13.5" hidden="1"/>
    <row r="11714" ht="13.5" hidden="1"/>
    <row r="11715" ht="13.5" hidden="1"/>
    <row r="11716" ht="13.5" hidden="1"/>
    <row r="11717" ht="13.5" hidden="1"/>
    <row r="11718" ht="13.5" hidden="1"/>
    <row r="11719" ht="13.5" hidden="1"/>
    <row r="11720" ht="13.5" hidden="1"/>
    <row r="11721" ht="13.5" hidden="1"/>
    <row r="11722" ht="13.5" hidden="1"/>
    <row r="11723" ht="13.5" hidden="1"/>
    <row r="11724" ht="13.5" hidden="1"/>
    <row r="11725" ht="13.5" hidden="1"/>
    <row r="11726" ht="13.5" hidden="1"/>
    <row r="11727" ht="13.5" hidden="1"/>
    <row r="11728" ht="13.5" hidden="1"/>
    <row r="11729" ht="13.5" hidden="1"/>
    <row r="11730" ht="13.5" hidden="1"/>
    <row r="11731" ht="13.5" hidden="1"/>
    <row r="11732" ht="13.5" hidden="1"/>
    <row r="11733" ht="13.5" hidden="1"/>
    <row r="11734" ht="13.5" hidden="1"/>
    <row r="11735" ht="13.5" hidden="1"/>
    <row r="11736" ht="13.5" hidden="1"/>
    <row r="11737" ht="13.5" hidden="1"/>
    <row r="11738" ht="13.5" hidden="1"/>
    <row r="11739" ht="13.5" hidden="1"/>
    <row r="11740" ht="13.5" hidden="1"/>
    <row r="11741" ht="13.5" hidden="1"/>
    <row r="11742" ht="13.5" hidden="1"/>
    <row r="11743" ht="13.5" hidden="1"/>
    <row r="11744" ht="13.5" hidden="1"/>
    <row r="11745" ht="13.5" hidden="1"/>
    <row r="11746" ht="13.5" hidden="1"/>
    <row r="11747" ht="13.5" hidden="1"/>
    <row r="11748" ht="13.5" hidden="1"/>
    <row r="11749" ht="13.5" hidden="1"/>
    <row r="11750" ht="13.5" hidden="1"/>
    <row r="11751" ht="13.5" hidden="1"/>
    <row r="11752" ht="13.5" hidden="1"/>
    <row r="11753" ht="13.5" hidden="1"/>
    <row r="11754" ht="13.5" hidden="1"/>
    <row r="11755" ht="13.5" hidden="1"/>
    <row r="11756" ht="13.5" hidden="1"/>
    <row r="11757" ht="13.5" hidden="1"/>
    <row r="11758" ht="13.5" hidden="1"/>
    <row r="11759" ht="13.5" hidden="1"/>
    <row r="11760" ht="13.5" hidden="1"/>
    <row r="11761" ht="13.5" hidden="1"/>
    <row r="11762" ht="13.5" hidden="1"/>
    <row r="11763" ht="13.5" hidden="1"/>
    <row r="11764" ht="13.5" hidden="1"/>
    <row r="11765" ht="13.5" hidden="1"/>
    <row r="11766" ht="13.5" hidden="1"/>
    <row r="11767" ht="13.5" hidden="1"/>
    <row r="11768" ht="13.5" hidden="1"/>
    <row r="11769" ht="13.5" hidden="1"/>
    <row r="11770" ht="13.5" hidden="1"/>
    <row r="11771" ht="13.5" hidden="1"/>
    <row r="11772" ht="13.5" hidden="1"/>
    <row r="11773" ht="13.5" hidden="1"/>
    <row r="11774" ht="13.5" hidden="1"/>
    <row r="11775" ht="13.5" hidden="1"/>
    <row r="11776" ht="13.5" hidden="1"/>
    <row r="11777" ht="13.5" hidden="1"/>
    <row r="11778" ht="13.5" hidden="1"/>
    <row r="11779" ht="13.5" hidden="1"/>
    <row r="11780" ht="13.5" hidden="1"/>
    <row r="11781" ht="13.5" hidden="1"/>
    <row r="11782" ht="13.5" hidden="1"/>
    <row r="11783" ht="13.5" hidden="1"/>
    <row r="11784" ht="13.5" hidden="1"/>
    <row r="11785" ht="13.5" hidden="1"/>
    <row r="11786" ht="13.5" hidden="1"/>
    <row r="11787" ht="13.5" hidden="1"/>
    <row r="11788" ht="13.5" hidden="1"/>
    <row r="11789" ht="13.5" hidden="1"/>
    <row r="11790" ht="13.5" hidden="1"/>
    <row r="11791" ht="13.5" hidden="1"/>
    <row r="11792" ht="13.5" hidden="1"/>
    <row r="11793" ht="13.5" hidden="1"/>
    <row r="11794" ht="13.5" hidden="1"/>
    <row r="11795" ht="13.5" hidden="1"/>
    <row r="11796" ht="13.5" hidden="1"/>
    <row r="11797" ht="13.5" hidden="1"/>
    <row r="11798" ht="13.5" hidden="1"/>
    <row r="11799" ht="13.5" hidden="1"/>
    <row r="11800" ht="13.5" hidden="1"/>
    <row r="11801" ht="13.5" hidden="1"/>
    <row r="11802" ht="13.5" hidden="1"/>
    <row r="11803" ht="13.5" hidden="1"/>
    <row r="11804" ht="13.5" hidden="1"/>
    <row r="11805" ht="13.5" hidden="1"/>
    <row r="11806" ht="13.5" hidden="1"/>
    <row r="11807" ht="13.5" hidden="1"/>
    <row r="11808" ht="13.5" hidden="1"/>
    <row r="11809" ht="13.5" hidden="1"/>
    <row r="11810" ht="13.5" hidden="1"/>
    <row r="11811" ht="13.5" hidden="1"/>
    <row r="11812" ht="13.5" hidden="1"/>
    <row r="11813" ht="13.5" hidden="1"/>
    <row r="11814" ht="13.5" hidden="1"/>
    <row r="11815" ht="13.5" hidden="1"/>
    <row r="11816" ht="13.5" hidden="1"/>
    <row r="11817" ht="13.5" hidden="1"/>
    <row r="11818" ht="13.5" hidden="1"/>
    <row r="11819" ht="13.5" hidden="1"/>
    <row r="11820" ht="13.5" hidden="1"/>
    <row r="11821" ht="13.5" hidden="1"/>
    <row r="11822" ht="13.5" hidden="1"/>
    <row r="11823" ht="13.5" hidden="1"/>
    <row r="11824" ht="13.5" hidden="1"/>
    <row r="11825" ht="13.5" hidden="1"/>
    <row r="11826" ht="13.5" hidden="1"/>
    <row r="11827" ht="13.5" hidden="1"/>
    <row r="11828" ht="13.5" hidden="1"/>
    <row r="11829" ht="13.5" hidden="1"/>
    <row r="11830" ht="13.5" hidden="1"/>
    <row r="11831" ht="13.5" hidden="1"/>
    <row r="11832" ht="13.5" hidden="1"/>
    <row r="11833" ht="13.5" hidden="1"/>
    <row r="11834" ht="13.5" hidden="1"/>
    <row r="11835" ht="13.5" hidden="1"/>
    <row r="11836" ht="13.5" hidden="1"/>
    <row r="11837" ht="13.5" hidden="1"/>
    <row r="11838" ht="13.5" hidden="1"/>
    <row r="11839" ht="13.5" hidden="1"/>
    <row r="11840" ht="13.5" hidden="1"/>
    <row r="11841" ht="13.5" hidden="1"/>
    <row r="11842" ht="13.5" hidden="1"/>
    <row r="11843" ht="13.5" hidden="1"/>
    <row r="11844" ht="13.5" hidden="1"/>
    <row r="11845" ht="13.5" hidden="1"/>
    <row r="11846" ht="13.5" hidden="1"/>
    <row r="11847" ht="13.5" hidden="1"/>
    <row r="11848" ht="13.5" hidden="1"/>
    <row r="11849" ht="13.5" hidden="1"/>
    <row r="11850" ht="13.5" hidden="1"/>
    <row r="11851" ht="13.5" hidden="1"/>
    <row r="11852" ht="13.5" hidden="1"/>
    <row r="11853" ht="13.5" hidden="1"/>
    <row r="11854" ht="13.5" hidden="1"/>
    <row r="11855" ht="13.5" hidden="1"/>
    <row r="11856" ht="13.5" hidden="1"/>
    <row r="11857" ht="13.5" hidden="1"/>
    <row r="11858" ht="13.5" hidden="1"/>
    <row r="11859" ht="13.5" hidden="1"/>
    <row r="11860" ht="13.5" hidden="1"/>
    <row r="11861" ht="13.5" hidden="1"/>
    <row r="11862" ht="13.5" hidden="1"/>
    <row r="11863" ht="13.5" hidden="1"/>
    <row r="11864" ht="13.5" hidden="1"/>
    <row r="11865" ht="13.5" hidden="1"/>
    <row r="11866" ht="13.5" hidden="1"/>
    <row r="11867" ht="13.5" hidden="1"/>
    <row r="11868" ht="13.5" hidden="1"/>
    <row r="11869" ht="13.5" hidden="1"/>
    <row r="11870" ht="13.5" hidden="1"/>
    <row r="11871" ht="13.5" hidden="1"/>
    <row r="11872" ht="13.5" hidden="1"/>
    <row r="11873" ht="13.5" hidden="1"/>
    <row r="11874" ht="13.5" hidden="1"/>
    <row r="11875" ht="13.5" hidden="1"/>
    <row r="11876" ht="13.5" hidden="1"/>
    <row r="11877" ht="13.5" hidden="1"/>
    <row r="11878" ht="13.5" hidden="1"/>
    <row r="11879" ht="13.5" hidden="1"/>
    <row r="11880" ht="13.5" hidden="1"/>
    <row r="11881" ht="13.5" hidden="1"/>
    <row r="11882" ht="13.5" hidden="1"/>
    <row r="11883" ht="13.5" hidden="1"/>
    <row r="11884" ht="13.5" hidden="1"/>
    <row r="11885" ht="13.5" hidden="1"/>
    <row r="11886" ht="13.5" hidden="1"/>
    <row r="11887" ht="13.5" hidden="1"/>
    <row r="11888" ht="13.5" hidden="1"/>
    <row r="11889" ht="13.5" hidden="1"/>
    <row r="11890" ht="13.5" hidden="1"/>
    <row r="11891" ht="13.5" hidden="1"/>
    <row r="11892" ht="13.5" hidden="1"/>
    <row r="11893" ht="13.5" hidden="1"/>
    <row r="11894" ht="13.5" hidden="1"/>
    <row r="11895" ht="13.5" hidden="1"/>
    <row r="11896" ht="13.5" hidden="1"/>
    <row r="11897" ht="13.5" hidden="1"/>
    <row r="11898" ht="13.5" hidden="1"/>
    <row r="11899" ht="13.5" hidden="1"/>
    <row r="11900" ht="13.5" hidden="1"/>
    <row r="11901" ht="13.5" hidden="1"/>
    <row r="11902" ht="13.5" hidden="1"/>
    <row r="11903" ht="13.5" hidden="1"/>
    <row r="11904" ht="13.5" hidden="1"/>
    <row r="11905" ht="13.5" hidden="1"/>
    <row r="11906" ht="13.5" hidden="1"/>
    <row r="11907" ht="13.5" hidden="1"/>
    <row r="11908" ht="13.5" hidden="1"/>
    <row r="11909" ht="13.5" hidden="1"/>
    <row r="11910" ht="13.5" hidden="1"/>
    <row r="11911" ht="13.5" hidden="1"/>
    <row r="11912" ht="13.5" hidden="1"/>
    <row r="11913" ht="13.5" hidden="1"/>
    <row r="11914" ht="13.5" hidden="1"/>
    <row r="11915" ht="13.5" hidden="1"/>
    <row r="11916" ht="13.5" hidden="1"/>
    <row r="11917" ht="13.5" hidden="1"/>
    <row r="11918" ht="13.5" hidden="1"/>
    <row r="11919" ht="13.5" hidden="1"/>
    <row r="11920" ht="13.5" hidden="1"/>
    <row r="11921" ht="13.5" hidden="1"/>
    <row r="11922" ht="13.5" hidden="1"/>
    <row r="11923" ht="13.5" hidden="1"/>
    <row r="11924" ht="13.5" hidden="1"/>
    <row r="11925" ht="13.5" hidden="1"/>
    <row r="11926" ht="13.5" hidden="1"/>
    <row r="11927" ht="13.5" hidden="1"/>
    <row r="11928" ht="13.5" hidden="1"/>
    <row r="11929" ht="13.5" hidden="1"/>
    <row r="11930" ht="13.5" hidden="1"/>
    <row r="11931" ht="13.5" hidden="1"/>
    <row r="11932" ht="13.5" hidden="1"/>
    <row r="11933" ht="13.5" hidden="1"/>
    <row r="11934" ht="13.5" hidden="1"/>
    <row r="11935" ht="13.5" hidden="1"/>
    <row r="11936" ht="13.5" hidden="1"/>
    <row r="11937" ht="13.5" hidden="1"/>
    <row r="11938" ht="13.5" hidden="1"/>
    <row r="11939" ht="13.5" hidden="1"/>
    <row r="11940" ht="13.5" hidden="1"/>
    <row r="11941" ht="13.5" hidden="1"/>
    <row r="11942" ht="13.5" hidden="1"/>
    <row r="11943" ht="13.5" hidden="1"/>
    <row r="11944" ht="13.5" hidden="1"/>
    <row r="11945" ht="13.5" hidden="1"/>
    <row r="11946" ht="13.5" hidden="1"/>
    <row r="11947" ht="13.5" hidden="1"/>
    <row r="11948" ht="13.5" hidden="1"/>
    <row r="11949" ht="13.5" hidden="1"/>
    <row r="11950" ht="13.5" hidden="1"/>
    <row r="11951" ht="13.5" hidden="1"/>
    <row r="11952" ht="13.5" hidden="1"/>
    <row r="11953" ht="13.5" hidden="1"/>
    <row r="11954" ht="13.5" hidden="1"/>
    <row r="11955" ht="13.5" hidden="1"/>
    <row r="11956" ht="13.5" hidden="1"/>
    <row r="11957" ht="13.5" hidden="1"/>
    <row r="11958" ht="13.5" hidden="1"/>
    <row r="11959" ht="13.5" hidden="1"/>
    <row r="11960" ht="13.5" hidden="1"/>
    <row r="11961" ht="13.5" hidden="1"/>
    <row r="11962" ht="13.5" hidden="1"/>
    <row r="11963" ht="13.5" hidden="1"/>
    <row r="11964" ht="13.5" hidden="1"/>
    <row r="11965" ht="13.5" hidden="1"/>
    <row r="11966" ht="13.5" hidden="1"/>
    <row r="11967" ht="13.5" hidden="1"/>
    <row r="11968" ht="13.5" hidden="1"/>
    <row r="11969" ht="13.5" hidden="1"/>
    <row r="11970" ht="13.5" hidden="1"/>
    <row r="11971" ht="13.5" hidden="1"/>
    <row r="11972" ht="13.5" hidden="1"/>
    <row r="11973" ht="13.5" hidden="1"/>
    <row r="11974" ht="13.5" hidden="1"/>
    <row r="11975" ht="13.5" hidden="1"/>
    <row r="11976" ht="13.5" hidden="1"/>
    <row r="11977" ht="13.5" hidden="1"/>
    <row r="11978" ht="13.5" hidden="1"/>
    <row r="11979" ht="13.5" hidden="1"/>
    <row r="11980" ht="13.5" hidden="1"/>
    <row r="11981" ht="13.5" hidden="1"/>
    <row r="11982" ht="13.5" hidden="1"/>
    <row r="11983" ht="13.5" hidden="1"/>
    <row r="11984" ht="13.5" hidden="1"/>
    <row r="11985" ht="13.5" hidden="1"/>
    <row r="11986" ht="13.5" hidden="1"/>
    <row r="11987" ht="13.5" hidden="1"/>
    <row r="11988" ht="13.5" hidden="1"/>
    <row r="11989" ht="13.5" hidden="1"/>
    <row r="11990" ht="13.5" hidden="1"/>
    <row r="11991" ht="13.5" hidden="1"/>
    <row r="11992" ht="13.5" hidden="1"/>
    <row r="11993" ht="13.5" hidden="1"/>
    <row r="11994" ht="13.5" hidden="1"/>
    <row r="11995" ht="13.5" hidden="1"/>
    <row r="11996" ht="13.5" hidden="1"/>
    <row r="11997" ht="13.5" hidden="1"/>
    <row r="11998" ht="13.5" hidden="1"/>
    <row r="11999" ht="13.5" hidden="1"/>
    <row r="12000" ht="13.5" hidden="1"/>
    <row r="12001" ht="13.5" hidden="1"/>
    <row r="12002" ht="13.5" hidden="1"/>
    <row r="12003" ht="13.5" hidden="1"/>
    <row r="12004" ht="13.5" hidden="1"/>
    <row r="12005" ht="13.5" hidden="1"/>
    <row r="12006" ht="13.5" hidden="1"/>
    <row r="12007" ht="13.5" hidden="1"/>
    <row r="12008" ht="13.5" hidden="1"/>
    <row r="12009" ht="13.5" hidden="1"/>
    <row r="12010" ht="13.5" hidden="1"/>
    <row r="12011" ht="13.5" hidden="1"/>
    <row r="12012" ht="13.5" hidden="1"/>
    <row r="12013" ht="13.5" hidden="1"/>
    <row r="12014" ht="13.5" hidden="1"/>
    <row r="12015" ht="13.5" hidden="1"/>
    <row r="12016" ht="13.5" hidden="1"/>
    <row r="12017" ht="13.5" hidden="1"/>
    <row r="12018" ht="13.5" hidden="1"/>
    <row r="12019" ht="13.5" hidden="1"/>
    <row r="12020" ht="13.5" hidden="1"/>
    <row r="12021" ht="13.5" hidden="1"/>
    <row r="12022" ht="13.5" hidden="1"/>
    <row r="12023" ht="13.5" hidden="1"/>
    <row r="12024" ht="13.5" hidden="1"/>
    <row r="12025" ht="13.5" hidden="1"/>
    <row r="12026" ht="13.5" hidden="1"/>
    <row r="12027" ht="13.5" hidden="1"/>
    <row r="12028" ht="13.5" hidden="1"/>
    <row r="12029" ht="13.5" hidden="1"/>
    <row r="12030" ht="13.5" hidden="1"/>
    <row r="12031" ht="13.5" hidden="1"/>
    <row r="12032" ht="13.5" hidden="1"/>
    <row r="12033" ht="13.5" hidden="1"/>
    <row r="12034" ht="13.5" hidden="1"/>
    <row r="12035" ht="13.5" hidden="1"/>
    <row r="12036" ht="13.5" hidden="1"/>
    <row r="12037" ht="13.5" hidden="1"/>
    <row r="12038" ht="13.5" hidden="1"/>
    <row r="12039" ht="13.5" hidden="1"/>
    <row r="12040" ht="13.5" hidden="1"/>
    <row r="12041" ht="13.5" hidden="1"/>
    <row r="12042" ht="13.5" hidden="1"/>
    <row r="12043" ht="13.5" hidden="1"/>
    <row r="12044" ht="13.5" hidden="1"/>
    <row r="12045" ht="13.5" hidden="1"/>
    <row r="12046" ht="13.5" hidden="1"/>
    <row r="12047" ht="13.5" hidden="1"/>
    <row r="12048" ht="13.5" hidden="1"/>
    <row r="12049" ht="13.5" hidden="1"/>
    <row r="12050" ht="13.5" hidden="1"/>
    <row r="12051" ht="13.5" hidden="1"/>
    <row r="12052" ht="13.5" hidden="1"/>
    <row r="12053" ht="13.5" hidden="1"/>
    <row r="12054" ht="13.5" hidden="1"/>
    <row r="12055" ht="13.5" hidden="1"/>
    <row r="12056" ht="13.5" hidden="1"/>
    <row r="12057" ht="13.5" hidden="1"/>
    <row r="12058" ht="13.5" hidden="1"/>
    <row r="12059" ht="13.5" hidden="1"/>
    <row r="12060" ht="13.5" hidden="1"/>
    <row r="12061" ht="13.5" hidden="1"/>
    <row r="12062" ht="13.5" hidden="1"/>
    <row r="12063" ht="13.5" hidden="1"/>
    <row r="12064" ht="13.5" hidden="1"/>
    <row r="12065" ht="13.5" hidden="1"/>
    <row r="12066" ht="13.5" hidden="1"/>
    <row r="12067" ht="13.5" hidden="1"/>
    <row r="12068" ht="13.5" hidden="1"/>
    <row r="12069" ht="13.5" hidden="1"/>
    <row r="12070" ht="13.5" hidden="1"/>
    <row r="12071" ht="13.5" hidden="1"/>
    <row r="12072" ht="13.5" hidden="1"/>
    <row r="12073" ht="13.5" hidden="1"/>
    <row r="12074" ht="13.5" hidden="1"/>
    <row r="12075" ht="13.5" hidden="1"/>
    <row r="12076" ht="13.5" hidden="1"/>
    <row r="12077" ht="13.5" hidden="1"/>
    <row r="12078" ht="13.5" hidden="1"/>
    <row r="12079" ht="13.5" hidden="1"/>
    <row r="12080" ht="13.5" hidden="1"/>
    <row r="12081" ht="13.5" hidden="1"/>
    <row r="12082" ht="13.5" hidden="1"/>
    <row r="12083" ht="13.5" hidden="1"/>
    <row r="12084" ht="13.5" hidden="1"/>
    <row r="12085" ht="13.5" hidden="1"/>
    <row r="12086" ht="13.5" hidden="1"/>
    <row r="12087" ht="13.5" hidden="1"/>
    <row r="12088" ht="13.5" hidden="1"/>
    <row r="12089" ht="13.5" hidden="1"/>
    <row r="12090" ht="13.5" hidden="1"/>
    <row r="12091" ht="13.5" hidden="1"/>
    <row r="12092" ht="13.5" hidden="1"/>
    <row r="12093" ht="13.5" hidden="1"/>
    <row r="12094" ht="13.5" hidden="1"/>
    <row r="12095" ht="13.5" hidden="1"/>
    <row r="12096" ht="13.5" hidden="1"/>
    <row r="12097" ht="13.5" hidden="1"/>
    <row r="12098" ht="13.5" hidden="1"/>
    <row r="12099" ht="13.5" hidden="1"/>
    <row r="12100" ht="13.5" hidden="1"/>
    <row r="12101" ht="13.5" hidden="1"/>
    <row r="12102" ht="13.5" hidden="1"/>
    <row r="12103" ht="13.5" hidden="1"/>
    <row r="12104" ht="13.5" hidden="1"/>
    <row r="12105" ht="13.5" hidden="1"/>
    <row r="12106" ht="13.5" hidden="1"/>
    <row r="12107" ht="13.5" hidden="1"/>
    <row r="12108" ht="13.5" hidden="1"/>
    <row r="12109" ht="13.5" hidden="1"/>
    <row r="12110" ht="13.5" hidden="1"/>
    <row r="12111" ht="13.5" hidden="1"/>
    <row r="12112" ht="13.5" hidden="1"/>
    <row r="12113" ht="13.5" hidden="1"/>
    <row r="12114" ht="13.5" hidden="1"/>
    <row r="12115" ht="13.5" hidden="1"/>
    <row r="12116" ht="13.5" hidden="1"/>
    <row r="12117" ht="13.5" hidden="1"/>
    <row r="12118" ht="13.5" hidden="1"/>
    <row r="12119" ht="13.5" hidden="1"/>
    <row r="12120" ht="13.5" hidden="1"/>
    <row r="12121" ht="13.5" hidden="1"/>
    <row r="12122" ht="13.5" hidden="1"/>
    <row r="12123" ht="13.5" hidden="1"/>
    <row r="12124" ht="13.5" hidden="1"/>
    <row r="12125" ht="13.5" hidden="1"/>
    <row r="12126" ht="13.5" hidden="1"/>
    <row r="12127" ht="13.5" hidden="1"/>
    <row r="12128" ht="13.5" hidden="1"/>
    <row r="12129" ht="13.5" hidden="1"/>
    <row r="12130" ht="13.5" hidden="1"/>
    <row r="12131" ht="13.5" hidden="1"/>
    <row r="12132" ht="13.5" hidden="1"/>
    <row r="12133" ht="13.5" hidden="1"/>
    <row r="12134" ht="13.5" hidden="1"/>
    <row r="12135" ht="13.5" hidden="1"/>
    <row r="12136" ht="13.5" hidden="1"/>
    <row r="12137" ht="13.5" hidden="1"/>
    <row r="12138" ht="13.5" hidden="1"/>
    <row r="12139" ht="13.5" hidden="1"/>
    <row r="12140" ht="13.5" hidden="1"/>
    <row r="12141" ht="13.5" hidden="1"/>
    <row r="12142" ht="13.5" hidden="1"/>
    <row r="12143" ht="13.5" hidden="1"/>
    <row r="12144" ht="13.5" hidden="1"/>
    <row r="12145" ht="13.5" hidden="1"/>
    <row r="12146" ht="13.5" hidden="1"/>
    <row r="12147" ht="13.5" hidden="1"/>
    <row r="12148" ht="13.5" hidden="1"/>
    <row r="12149" ht="13.5" hidden="1"/>
    <row r="12150" ht="13.5" hidden="1"/>
    <row r="12151" ht="13.5" hidden="1"/>
    <row r="12152" ht="13.5" hidden="1"/>
    <row r="12153" ht="13.5" hidden="1"/>
    <row r="12154" ht="13.5" hidden="1"/>
    <row r="12155" ht="13.5" hidden="1"/>
    <row r="12156" ht="13.5" hidden="1"/>
    <row r="12157" ht="13.5" hidden="1"/>
    <row r="12158" ht="13.5" hidden="1"/>
    <row r="12159" ht="13.5" hidden="1"/>
    <row r="12160" ht="13.5" hidden="1"/>
    <row r="12161" ht="13.5" hidden="1"/>
    <row r="12162" ht="13.5" hidden="1"/>
    <row r="12163" ht="13.5" hidden="1"/>
    <row r="12164" ht="13.5" hidden="1"/>
    <row r="12165" ht="13.5" hidden="1"/>
    <row r="12166" ht="13.5" hidden="1"/>
    <row r="12167" ht="13.5" hidden="1"/>
    <row r="12168" ht="13.5" hidden="1"/>
    <row r="12169" ht="13.5" hidden="1"/>
    <row r="12170" ht="13.5" hidden="1"/>
    <row r="12171" ht="13.5" hidden="1"/>
    <row r="12172" ht="13.5" hidden="1"/>
    <row r="12173" ht="13.5" hidden="1"/>
    <row r="12174" ht="13.5" hidden="1"/>
    <row r="12175" ht="13.5" hidden="1"/>
    <row r="12176" ht="13.5" hidden="1"/>
    <row r="12177" ht="13.5" hidden="1"/>
    <row r="12178" ht="13.5" hidden="1"/>
    <row r="12179" ht="13.5" hidden="1"/>
    <row r="12180" ht="13.5" hidden="1"/>
    <row r="12181" ht="13.5" hidden="1"/>
    <row r="12182" ht="13.5" hidden="1"/>
    <row r="12183" ht="13.5" hidden="1"/>
    <row r="12184" ht="13.5" hidden="1"/>
    <row r="12185" ht="13.5" hidden="1"/>
    <row r="12186" ht="13.5" hidden="1"/>
    <row r="12187" ht="13.5" hidden="1"/>
    <row r="12188" ht="13.5" hidden="1"/>
    <row r="12189" ht="13.5" hidden="1"/>
    <row r="12190" ht="13.5" hidden="1"/>
    <row r="12191" ht="13.5" hidden="1"/>
    <row r="12192" ht="13.5" hidden="1"/>
    <row r="12193" ht="13.5" hidden="1"/>
    <row r="12194" ht="13.5" hidden="1"/>
    <row r="12195" ht="13.5" hidden="1"/>
    <row r="12196" ht="13.5" hidden="1"/>
    <row r="12197" ht="13.5" hidden="1"/>
    <row r="12198" ht="13.5" hidden="1"/>
    <row r="12199" ht="13.5" hidden="1"/>
    <row r="12200" ht="13.5" hidden="1"/>
    <row r="12201" ht="13.5" hidden="1"/>
    <row r="12202" ht="13.5" hidden="1"/>
    <row r="12203" ht="13.5" hidden="1"/>
    <row r="12204" ht="13.5" hidden="1"/>
    <row r="12205" ht="13.5" hidden="1"/>
    <row r="12206" ht="13.5" hidden="1"/>
    <row r="12207" ht="13.5" hidden="1"/>
    <row r="12208" ht="13.5" hidden="1"/>
    <row r="12209" ht="13.5" hidden="1"/>
    <row r="12210" ht="13.5" hidden="1"/>
    <row r="12211" ht="13.5" hidden="1"/>
    <row r="12212" ht="13.5" hidden="1"/>
    <row r="12213" ht="13.5" hidden="1"/>
    <row r="12214" ht="13.5" hidden="1"/>
    <row r="12215" ht="13.5" hidden="1"/>
    <row r="12216" ht="13.5" hidden="1"/>
    <row r="12217" ht="13.5" hidden="1"/>
    <row r="12218" ht="13.5" hidden="1"/>
    <row r="12219" ht="13.5" hidden="1"/>
    <row r="12220" ht="13.5" hidden="1"/>
    <row r="12221" ht="13.5" hidden="1"/>
    <row r="12222" ht="13.5" hidden="1"/>
    <row r="12223" ht="13.5" hidden="1"/>
    <row r="12224" ht="13.5" hidden="1"/>
    <row r="12225" ht="13.5" hidden="1"/>
    <row r="12226" ht="13.5" hidden="1"/>
    <row r="12227" ht="13.5" hidden="1"/>
    <row r="12228" ht="13.5" hidden="1"/>
    <row r="12229" ht="13.5" hidden="1"/>
    <row r="12230" ht="13.5" hidden="1"/>
    <row r="12231" ht="13.5" hidden="1"/>
    <row r="12232" ht="13.5" hidden="1"/>
    <row r="12233" ht="13.5" hidden="1"/>
    <row r="12234" ht="13.5" hidden="1"/>
    <row r="12235" ht="13.5" hidden="1"/>
    <row r="12236" ht="13.5" hidden="1"/>
    <row r="12237" ht="13.5" hidden="1"/>
    <row r="12238" ht="13.5" hidden="1"/>
    <row r="12239" ht="13.5" hidden="1"/>
    <row r="12240" ht="13.5" hidden="1"/>
    <row r="12241" ht="13.5" hidden="1"/>
    <row r="12242" ht="13.5" hidden="1"/>
    <row r="12243" ht="13.5" hidden="1"/>
    <row r="12244" ht="13.5" hidden="1"/>
    <row r="12245" ht="13.5" hidden="1"/>
    <row r="12246" ht="13.5" hidden="1"/>
    <row r="12247" ht="13.5" hidden="1"/>
    <row r="12248" ht="13.5" hidden="1"/>
    <row r="12249" ht="13.5" hidden="1"/>
    <row r="12250" ht="13.5" hidden="1"/>
    <row r="12251" ht="13.5" hidden="1"/>
    <row r="12252" ht="13.5" hidden="1"/>
    <row r="12253" ht="13.5" hidden="1"/>
    <row r="12254" ht="13.5" hidden="1"/>
    <row r="12255" ht="13.5" hidden="1"/>
    <row r="12256" ht="13.5" hidden="1"/>
    <row r="12257" ht="13.5" hidden="1"/>
    <row r="12258" ht="13.5" hidden="1"/>
    <row r="12259" ht="13.5" hidden="1"/>
    <row r="12260" ht="13.5" hidden="1"/>
    <row r="12261" ht="13.5" hidden="1"/>
    <row r="12262" ht="13.5" hidden="1"/>
    <row r="12263" ht="13.5" hidden="1"/>
    <row r="12264" ht="13.5" hidden="1"/>
    <row r="12265" ht="13.5" hidden="1"/>
    <row r="12266" ht="13.5" hidden="1"/>
    <row r="12267" ht="13.5" hidden="1"/>
    <row r="12268" ht="13.5" hidden="1"/>
    <row r="12269" ht="13.5" hidden="1"/>
    <row r="12270" ht="13.5" hidden="1"/>
    <row r="12271" ht="13.5" hidden="1"/>
    <row r="12272" ht="13.5" hidden="1"/>
    <row r="12273" ht="13.5" hidden="1"/>
    <row r="12274" ht="13.5" hidden="1"/>
    <row r="12275" ht="13.5" hidden="1"/>
    <row r="12276" ht="13.5" hidden="1"/>
    <row r="12277" ht="13.5" hidden="1"/>
    <row r="12278" ht="13.5" hidden="1"/>
    <row r="12279" ht="13.5" hidden="1"/>
    <row r="12280" ht="13.5" hidden="1"/>
    <row r="12281" ht="13.5" hidden="1"/>
    <row r="12282" ht="13.5" hidden="1"/>
    <row r="12283" ht="13.5" hidden="1"/>
    <row r="12284" ht="13.5" hidden="1"/>
    <row r="12285" ht="13.5" hidden="1"/>
    <row r="12286" ht="13.5" hidden="1"/>
    <row r="12287" ht="13.5" hidden="1"/>
    <row r="12288" ht="13.5" hidden="1"/>
    <row r="12289" ht="13.5" hidden="1"/>
    <row r="12290" ht="13.5" hidden="1"/>
    <row r="12291" ht="13.5" hidden="1"/>
    <row r="12292" ht="13.5" hidden="1"/>
    <row r="12293" ht="13.5" hidden="1"/>
    <row r="12294" ht="13.5" hidden="1"/>
    <row r="12295" ht="13.5" hidden="1"/>
    <row r="12296" ht="13.5" hidden="1"/>
    <row r="12297" ht="13.5" hidden="1"/>
    <row r="12298" ht="13.5" hidden="1"/>
    <row r="12299" ht="13.5" hidden="1"/>
    <row r="12300" ht="13.5" hidden="1"/>
    <row r="12301" ht="13.5" hidden="1"/>
    <row r="12302" ht="13.5" hidden="1"/>
    <row r="12303" ht="13.5" hidden="1"/>
    <row r="12304" ht="13.5" hidden="1"/>
    <row r="12305" ht="13.5" hidden="1"/>
    <row r="12306" ht="13.5" hidden="1"/>
    <row r="12307" ht="13.5" hidden="1"/>
    <row r="12308" ht="13.5" hidden="1"/>
    <row r="12309" ht="13.5" hidden="1"/>
    <row r="12310" ht="13.5" hidden="1"/>
    <row r="12311" ht="13.5" hidden="1"/>
    <row r="12312" ht="13.5" hidden="1"/>
    <row r="12313" ht="13.5" hidden="1"/>
    <row r="12314" ht="13.5" hidden="1"/>
    <row r="12315" ht="13.5" hidden="1"/>
    <row r="12316" ht="13.5" hidden="1"/>
    <row r="12317" ht="13.5" hidden="1"/>
    <row r="12318" ht="13.5" hidden="1"/>
    <row r="12319" ht="13.5" hidden="1"/>
    <row r="12320" ht="13.5" hidden="1"/>
    <row r="12321" ht="13.5" hidden="1"/>
    <row r="12322" ht="13.5" hidden="1"/>
    <row r="12323" ht="13.5" hidden="1"/>
    <row r="12324" ht="13.5" hidden="1"/>
    <row r="12325" ht="13.5" hidden="1"/>
    <row r="12326" ht="13.5" hidden="1"/>
    <row r="12327" ht="13.5" hidden="1"/>
    <row r="12328" ht="13.5" hidden="1"/>
    <row r="12329" ht="13.5" hidden="1"/>
    <row r="12330" ht="13.5" hidden="1"/>
    <row r="12331" ht="13.5" hidden="1"/>
    <row r="12332" ht="13.5" hidden="1"/>
    <row r="12333" ht="13.5" hidden="1"/>
    <row r="12334" ht="13.5" hidden="1"/>
    <row r="12335" ht="13.5" hidden="1"/>
    <row r="12336" ht="13.5" hidden="1"/>
    <row r="12337" ht="13.5" hidden="1"/>
    <row r="12338" ht="13.5" hidden="1"/>
    <row r="12339" ht="13.5" hidden="1"/>
    <row r="12340" ht="13.5" hidden="1"/>
    <row r="12341" ht="13.5" hidden="1"/>
    <row r="12342" ht="13.5" hidden="1"/>
    <row r="12343" ht="13.5" hidden="1"/>
    <row r="12344" ht="13.5" hidden="1"/>
    <row r="12345" ht="13.5" hidden="1"/>
    <row r="12346" ht="13.5" hidden="1"/>
    <row r="12347" ht="13.5" hidden="1"/>
    <row r="12348" ht="13.5" hidden="1"/>
    <row r="12349" ht="13.5" hidden="1"/>
    <row r="12350" ht="13.5" hidden="1"/>
    <row r="12351" ht="13.5" hidden="1"/>
    <row r="12352" ht="13.5" hidden="1"/>
    <row r="12353" ht="13.5" hidden="1"/>
    <row r="12354" ht="13.5" hidden="1"/>
    <row r="12355" ht="13.5" hidden="1"/>
    <row r="12356" ht="13.5" hidden="1"/>
    <row r="12357" ht="13.5" hidden="1"/>
    <row r="12358" ht="13.5" hidden="1"/>
    <row r="12359" ht="13.5" hidden="1"/>
    <row r="12360" ht="13.5" hidden="1"/>
    <row r="12361" ht="13.5" hidden="1"/>
    <row r="12362" ht="13.5" hidden="1"/>
    <row r="12363" ht="13.5" hidden="1"/>
    <row r="12364" ht="13.5" hidden="1"/>
    <row r="12365" ht="13.5" hidden="1"/>
    <row r="12366" ht="13.5" hidden="1"/>
    <row r="12367" ht="13.5" hidden="1"/>
    <row r="12368" ht="13.5" hidden="1"/>
    <row r="12369" ht="13.5" hidden="1"/>
    <row r="12370" ht="13.5" hidden="1"/>
    <row r="12371" ht="13.5" hidden="1"/>
    <row r="12372" ht="13.5" hidden="1"/>
    <row r="12373" ht="13.5" hidden="1"/>
    <row r="12374" ht="13.5" hidden="1"/>
    <row r="12375" ht="13.5" hidden="1"/>
    <row r="12376" ht="13.5" hidden="1"/>
    <row r="12377" ht="13.5" hidden="1"/>
    <row r="12378" ht="13.5" hidden="1"/>
    <row r="12379" ht="13.5" hidden="1"/>
    <row r="12380" ht="13.5" hidden="1"/>
    <row r="12381" ht="13.5" hidden="1"/>
    <row r="12382" ht="13.5" hidden="1"/>
    <row r="12383" ht="13.5" hidden="1"/>
    <row r="12384" ht="13.5" hidden="1"/>
    <row r="12385" ht="13.5" hidden="1"/>
    <row r="12386" ht="13.5" hidden="1"/>
    <row r="12387" ht="13.5" hidden="1"/>
    <row r="12388" ht="13.5" hidden="1"/>
    <row r="12389" ht="13.5" hidden="1"/>
    <row r="12390" ht="13.5" hidden="1"/>
    <row r="12391" ht="13.5" hidden="1"/>
    <row r="12392" ht="13.5" hidden="1"/>
    <row r="12393" ht="13.5" hidden="1"/>
    <row r="12394" ht="13.5" hidden="1"/>
    <row r="12395" ht="13.5" hidden="1"/>
    <row r="12396" ht="13.5" hidden="1"/>
    <row r="12397" ht="13.5" hidden="1"/>
    <row r="12398" ht="13.5" hidden="1"/>
    <row r="12399" ht="13.5" hidden="1"/>
    <row r="12400" ht="13.5" hidden="1"/>
    <row r="12401" ht="13.5" hidden="1"/>
    <row r="12402" ht="13.5" hidden="1"/>
    <row r="12403" ht="13.5" hidden="1"/>
    <row r="12404" ht="13.5" hidden="1"/>
    <row r="12405" ht="13.5" hidden="1"/>
    <row r="12406" ht="13.5" hidden="1"/>
    <row r="12407" ht="13.5" hidden="1"/>
    <row r="12408" ht="13.5" hidden="1"/>
    <row r="12409" ht="13.5" hidden="1"/>
    <row r="12410" ht="13.5" hidden="1"/>
    <row r="12411" ht="13.5" hidden="1"/>
    <row r="12412" ht="13.5" hidden="1"/>
    <row r="12413" ht="13.5" hidden="1"/>
    <row r="12414" ht="13.5" hidden="1"/>
    <row r="12415" ht="13.5" hidden="1"/>
    <row r="12416" ht="13.5" hidden="1"/>
    <row r="12417" ht="13.5" hidden="1"/>
    <row r="12418" ht="13.5" hidden="1"/>
    <row r="12419" ht="13.5" hidden="1"/>
    <row r="12420" ht="13.5" hidden="1"/>
    <row r="12421" ht="13.5" hidden="1"/>
    <row r="12422" ht="13.5" hidden="1"/>
    <row r="12423" ht="13.5" hidden="1"/>
    <row r="12424" ht="13.5" hidden="1"/>
    <row r="12425" ht="13.5" hidden="1"/>
    <row r="12426" ht="13.5" hidden="1"/>
    <row r="12427" ht="13.5" hidden="1"/>
    <row r="12428" ht="13.5" hidden="1"/>
    <row r="12429" ht="13.5" hidden="1"/>
    <row r="12430" ht="13.5" hidden="1"/>
    <row r="12431" ht="13.5" hidden="1"/>
    <row r="12432" ht="13.5" hidden="1"/>
    <row r="12433" ht="13.5" hidden="1"/>
    <row r="12434" ht="13.5" hidden="1"/>
    <row r="12435" ht="13.5" hidden="1"/>
    <row r="12436" ht="13.5" hidden="1"/>
    <row r="12437" ht="13.5" hidden="1"/>
    <row r="12438" ht="13.5" hidden="1"/>
    <row r="12439" ht="13.5" hidden="1"/>
    <row r="12440" ht="13.5" hidden="1"/>
    <row r="12441" ht="13.5" hidden="1"/>
    <row r="12442" ht="13.5" hidden="1"/>
    <row r="12443" ht="13.5" hidden="1"/>
    <row r="12444" ht="13.5" hidden="1"/>
    <row r="12445" ht="13.5" hidden="1"/>
    <row r="12446" ht="13.5" hidden="1"/>
    <row r="12447" ht="13.5" hidden="1"/>
    <row r="12448" ht="13.5" hidden="1"/>
    <row r="12449" ht="13.5" hidden="1"/>
    <row r="12450" ht="13.5" hidden="1"/>
    <row r="12451" ht="13.5" hidden="1"/>
    <row r="12452" ht="13.5" hidden="1"/>
    <row r="12453" ht="13.5" hidden="1"/>
    <row r="12454" ht="13.5" hidden="1"/>
    <row r="12455" ht="13.5" hidden="1"/>
    <row r="12456" ht="13.5" hidden="1"/>
    <row r="12457" ht="13.5" hidden="1"/>
    <row r="12458" ht="13.5" hidden="1"/>
    <row r="12459" ht="13.5" hidden="1"/>
    <row r="12460" ht="13.5" hidden="1"/>
    <row r="12461" ht="13.5" hidden="1"/>
    <row r="12462" ht="13.5" hidden="1"/>
    <row r="12463" ht="13.5" hidden="1"/>
    <row r="12464" ht="13.5" hidden="1"/>
    <row r="12465" ht="13.5" hidden="1"/>
    <row r="12466" ht="13.5" hidden="1"/>
    <row r="12467" ht="13.5" hidden="1"/>
    <row r="12468" ht="13.5" hidden="1"/>
    <row r="12469" ht="13.5" hidden="1"/>
    <row r="12470" ht="13.5" hidden="1"/>
    <row r="12471" ht="13.5" hidden="1"/>
    <row r="12472" ht="13.5" hidden="1"/>
    <row r="12473" ht="13.5" hidden="1"/>
    <row r="12474" ht="13.5" hidden="1"/>
    <row r="12475" ht="13.5" hidden="1"/>
    <row r="12476" ht="13.5" hidden="1"/>
    <row r="12477" ht="13.5" hidden="1"/>
    <row r="12478" ht="13.5" hidden="1"/>
    <row r="12479" ht="13.5" hidden="1"/>
    <row r="12480" ht="13.5" hidden="1"/>
    <row r="12481" ht="13.5" hidden="1"/>
    <row r="12482" ht="13.5" hidden="1"/>
    <row r="12483" ht="13.5" hidden="1"/>
    <row r="12484" ht="13.5" hidden="1"/>
    <row r="12485" ht="13.5" hidden="1"/>
    <row r="12486" ht="13.5" hidden="1"/>
    <row r="12487" ht="13.5" hidden="1"/>
    <row r="12488" ht="13.5" hidden="1"/>
    <row r="12489" ht="13.5" hidden="1"/>
    <row r="12490" ht="13.5" hidden="1"/>
    <row r="12491" ht="13.5" hidden="1"/>
    <row r="12492" ht="13.5" hidden="1"/>
    <row r="12493" ht="13.5" hidden="1"/>
    <row r="12494" ht="13.5" hidden="1"/>
    <row r="12495" ht="13.5" hidden="1"/>
    <row r="12496" ht="13.5" hidden="1"/>
    <row r="12497" ht="13.5" hidden="1"/>
    <row r="12498" ht="13.5" hidden="1"/>
    <row r="12499" ht="13.5" hidden="1"/>
    <row r="12500" ht="13.5" hidden="1"/>
    <row r="12501" ht="13.5" hidden="1"/>
    <row r="12502" ht="13.5" hidden="1"/>
    <row r="12503" ht="13.5" hidden="1"/>
    <row r="12504" ht="13.5" hidden="1"/>
    <row r="12505" ht="13.5" hidden="1"/>
    <row r="12506" ht="13.5" hidden="1"/>
    <row r="12507" ht="13.5" hidden="1"/>
    <row r="12508" ht="13.5" hidden="1"/>
    <row r="12509" ht="13.5" hidden="1"/>
    <row r="12510" ht="13.5" hidden="1"/>
    <row r="12511" ht="13.5" hidden="1"/>
    <row r="12512" ht="13.5" hidden="1"/>
    <row r="12513" ht="13.5" hidden="1"/>
    <row r="12514" ht="13.5" hidden="1"/>
    <row r="12515" ht="13.5" hidden="1"/>
    <row r="12516" ht="13.5" hidden="1"/>
    <row r="12517" ht="13.5" hidden="1"/>
    <row r="12518" ht="13.5" hidden="1"/>
    <row r="12519" ht="13.5" hidden="1"/>
    <row r="12520" ht="13.5" hidden="1"/>
    <row r="12521" ht="13.5" hidden="1"/>
    <row r="12522" ht="13.5" hidden="1"/>
    <row r="12523" ht="13.5" hidden="1"/>
    <row r="12524" ht="13.5" hidden="1"/>
    <row r="12525" ht="13.5" hidden="1"/>
    <row r="12526" ht="13.5" hidden="1"/>
    <row r="12527" ht="13.5" hidden="1"/>
    <row r="12528" ht="13.5" hidden="1"/>
    <row r="12529" ht="13.5" hidden="1"/>
    <row r="12530" ht="13.5" hidden="1"/>
    <row r="12531" ht="13.5" hidden="1"/>
    <row r="12532" ht="13.5" hidden="1"/>
    <row r="12533" ht="13.5" hidden="1"/>
    <row r="12534" ht="13.5" hidden="1"/>
    <row r="12535" ht="13.5" hidden="1"/>
    <row r="12536" ht="13.5" hidden="1"/>
    <row r="12537" ht="13.5" hidden="1"/>
    <row r="12538" ht="13.5" hidden="1"/>
    <row r="12539" ht="13.5" hidden="1"/>
    <row r="12540" ht="13.5" hidden="1"/>
    <row r="12541" ht="13.5" hidden="1"/>
    <row r="12542" ht="13.5" hidden="1"/>
    <row r="12543" ht="13.5" hidden="1"/>
    <row r="12544" ht="13.5" hidden="1"/>
    <row r="12545" ht="13.5" hidden="1"/>
    <row r="12546" ht="13.5" hidden="1"/>
    <row r="12547" ht="13.5" hidden="1"/>
    <row r="12548" ht="13.5" hidden="1"/>
    <row r="12549" ht="13.5" hidden="1"/>
    <row r="12550" ht="13.5" hidden="1"/>
    <row r="12551" ht="13.5" hidden="1"/>
    <row r="12552" ht="13.5" hidden="1"/>
    <row r="12553" ht="13.5" hidden="1"/>
    <row r="12554" ht="13.5" hidden="1"/>
    <row r="12555" ht="13.5" hidden="1"/>
    <row r="12556" ht="13.5" hidden="1"/>
    <row r="12557" ht="13.5" hidden="1"/>
    <row r="12558" ht="13.5" hidden="1"/>
    <row r="12559" ht="13.5" hidden="1"/>
    <row r="12560" ht="13.5" hidden="1"/>
    <row r="12561" ht="13.5" hidden="1"/>
    <row r="12562" ht="13.5" hidden="1"/>
    <row r="12563" ht="13.5" hidden="1"/>
    <row r="12564" ht="13.5" hidden="1"/>
    <row r="12565" ht="13.5" hidden="1"/>
    <row r="12566" ht="13.5" hidden="1"/>
    <row r="12567" ht="13.5" hidden="1"/>
    <row r="12568" ht="13.5" hidden="1"/>
    <row r="12569" ht="13.5" hidden="1"/>
    <row r="12570" ht="13.5" hidden="1"/>
    <row r="12571" ht="13.5" hidden="1"/>
    <row r="12572" ht="13.5" hidden="1"/>
    <row r="12573" ht="13.5" hidden="1"/>
    <row r="12574" ht="13.5" hidden="1"/>
    <row r="12575" ht="13.5" hidden="1"/>
    <row r="12576" ht="13.5" hidden="1"/>
    <row r="12577" ht="13.5" hidden="1"/>
    <row r="12578" ht="13.5" hidden="1"/>
    <row r="12579" ht="13.5" hidden="1"/>
    <row r="12580" ht="13.5" hidden="1"/>
    <row r="12581" ht="13.5" hidden="1"/>
    <row r="12582" ht="13.5" hidden="1"/>
    <row r="12583" ht="13.5" hidden="1"/>
    <row r="12584" ht="13.5" hidden="1"/>
    <row r="12585" ht="13.5" hidden="1"/>
    <row r="12586" ht="13.5" hidden="1"/>
    <row r="12587" ht="13.5" hidden="1"/>
    <row r="12588" ht="13.5" hidden="1"/>
    <row r="12589" ht="13.5" hidden="1"/>
    <row r="12590" ht="13.5" hidden="1"/>
    <row r="12591" ht="13.5" hidden="1"/>
    <row r="12592" ht="13.5" hidden="1"/>
    <row r="12593" ht="13.5" hidden="1"/>
    <row r="12594" ht="13.5" hidden="1"/>
    <row r="12595" ht="13.5" hidden="1"/>
    <row r="12596" ht="13.5" hidden="1"/>
    <row r="12597" ht="13.5" hidden="1"/>
    <row r="12598" ht="13.5" hidden="1"/>
    <row r="12599" ht="13.5" hidden="1"/>
    <row r="12600" ht="13.5" hidden="1"/>
    <row r="12601" ht="13.5" hidden="1"/>
    <row r="12602" ht="13.5" hidden="1"/>
    <row r="12603" ht="13.5" hidden="1"/>
    <row r="12604" ht="13.5" hidden="1"/>
    <row r="12605" ht="13.5" hidden="1"/>
    <row r="12606" ht="13.5" hidden="1"/>
    <row r="12607" ht="13.5" hidden="1"/>
    <row r="12608" ht="13.5" hidden="1"/>
    <row r="12609" ht="13.5" hidden="1"/>
    <row r="12610" ht="13.5" hidden="1"/>
    <row r="12611" ht="13.5" hidden="1"/>
    <row r="12612" ht="13.5" hidden="1"/>
    <row r="12613" ht="13.5" hidden="1"/>
    <row r="12614" ht="13.5" hidden="1"/>
    <row r="12615" ht="13.5" hidden="1"/>
    <row r="12616" ht="13.5" hidden="1"/>
    <row r="12617" ht="13.5" hidden="1"/>
    <row r="12618" ht="13.5" hidden="1"/>
    <row r="12619" ht="13.5" hidden="1"/>
    <row r="12620" ht="13.5" hidden="1"/>
    <row r="12621" ht="13.5" hidden="1"/>
    <row r="12622" ht="13.5" hidden="1"/>
    <row r="12623" ht="13.5" hidden="1"/>
    <row r="12624" ht="13.5" hidden="1"/>
    <row r="12625" ht="13.5" hidden="1"/>
    <row r="12626" ht="13.5" hidden="1"/>
    <row r="12627" ht="13.5" hidden="1"/>
    <row r="12628" ht="13.5" hidden="1"/>
    <row r="12629" ht="13.5" hidden="1"/>
    <row r="12630" ht="13.5" hidden="1"/>
    <row r="12631" ht="13.5" hidden="1"/>
    <row r="12632" ht="13.5" hidden="1"/>
    <row r="12633" ht="13.5" hidden="1"/>
    <row r="12634" ht="13.5" hidden="1"/>
    <row r="12635" ht="13.5" hidden="1"/>
    <row r="12636" ht="13.5" hidden="1"/>
    <row r="12637" ht="13.5" hidden="1"/>
    <row r="12638" ht="13.5" hidden="1"/>
    <row r="12639" ht="13.5" hidden="1"/>
    <row r="12640" ht="13.5" hidden="1"/>
    <row r="12641" ht="13.5" hidden="1"/>
    <row r="12642" ht="13.5" hidden="1"/>
    <row r="12643" ht="13.5" hidden="1"/>
    <row r="12644" ht="13.5" hidden="1"/>
    <row r="12645" ht="13.5" hidden="1"/>
    <row r="12646" ht="13.5" hidden="1"/>
    <row r="12647" ht="13.5" hidden="1"/>
    <row r="12648" ht="13.5" hidden="1"/>
    <row r="12649" ht="13.5" hidden="1"/>
    <row r="12650" ht="13.5" hidden="1"/>
    <row r="12651" ht="13.5" hidden="1"/>
    <row r="12652" ht="13.5" hidden="1"/>
    <row r="12653" ht="13.5" hidden="1"/>
    <row r="12654" ht="13.5" hidden="1"/>
    <row r="12655" ht="13.5" hidden="1"/>
    <row r="12656" ht="13.5" hidden="1"/>
    <row r="12657" ht="13.5" hidden="1"/>
    <row r="12658" ht="13.5" hidden="1"/>
    <row r="12659" ht="13.5" hidden="1"/>
    <row r="12660" ht="13.5" hidden="1"/>
    <row r="12661" ht="13.5" hidden="1"/>
    <row r="12662" ht="13.5" hidden="1"/>
    <row r="12663" ht="13.5" hidden="1"/>
    <row r="12664" ht="13.5" hidden="1"/>
    <row r="12665" ht="13.5" hidden="1"/>
    <row r="12666" ht="13.5" hidden="1"/>
    <row r="12667" ht="13.5" hidden="1"/>
    <row r="12668" ht="13.5" hidden="1"/>
    <row r="12669" ht="13.5" hidden="1"/>
    <row r="12670" ht="13.5" hidden="1"/>
    <row r="12671" ht="13.5" hidden="1"/>
    <row r="12672" ht="13.5" hidden="1"/>
    <row r="12673" ht="13.5" hidden="1"/>
    <row r="12674" ht="13.5" hidden="1"/>
    <row r="12675" ht="13.5" hidden="1"/>
    <row r="12676" ht="13.5" hidden="1"/>
    <row r="12677" ht="13.5" hidden="1"/>
    <row r="12678" ht="13.5" hidden="1"/>
    <row r="12679" ht="13.5" hidden="1"/>
    <row r="12680" ht="13.5" hidden="1"/>
    <row r="12681" ht="13.5" hidden="1"/>
    <row r="12682" ht="13.5" hidden="1"/>
    <row r="12683" ht="13.5" hidden="1"/>
    <row r="12684" ht="13.5" hidden="1"/>
    <row r="12685" ht="13.5" hidden="1"/>
    <row r="12686" ht="13.5" hidden="1"/>
    <row r="12687" ht="13.5" hidden="1"/>
    <row r="12688" ht="13.5" hidden="1"/>
    <row r="12689" ht="13.5" hidden="1"/>
    <row r="12690" ht="13.5" hidden="1"/>
    <row r="12691" ht="13.5" hidden="1"/>
    <row r="12692" ht="13.5" hidden="1"/>
    <row r="12693" ht="13.5" hidden="1"/>
    <row r="12694" ht="13.5" hidden="1"/>
    <row r="12695" ht="13.5" hidden="1"/>
    <row r="12696" ht="13.5" hidden="1"/>
    <row r="12697" ht="13.5" hidden="1"/>
    <row r="12698" ht="13.5" hidden="1"/>
    <row r="12699" ht="13.5" hidden="1"/>
    <row r="12700" ht="13.5" hidden="1"/>
    <row r="12701" ht="13.5" hidden="1"/>
    <row r="12702" ht="13.5" hidden="1"/>
    <row r="12703" ht="13.5" hidden="1"/>
    <row r="12704" ht="13.5" hidden="1"/>
    <row r="12705" ht="13.5" hidden="1"/>
    <row r="12706" ht="13.5" hidden="1"/>
    <row r="12707" ht="13.5" hidden="1"/>
    <row r="12708" ht="13.5" hidden="1"/>
    <row r="12709" ht="13.5" hidden="1"/>
    <row r="12710" ht="13.5" hidden="1"/>
    <row r="12711" ht="13.5" hidden="1"/>
    <row r="12712" ht="13.5" hidden="1"/>
    <row r="12713" ht="13.5" hidden="1"/>
    <row r="12714" ht="13.5" hidden="1"/>
    <row r="12715" ht="13.5" hidden="1"/>
    <row r="12716" ht="13.5" hidden="1"/>
    <row r="12717" ht="13.5" hidden="1"/>
    <row r="12718" ht="13.5" hidden="1"/>
    <row r="12719" ht="13.5" hidden="1"/>
    <row r="12720" ht="13.5" hidden="1"/>
    <row r="12721" ht="13.5" hidden="1"/>
    <row r="12722" ht="13.5" hidden="1"/>
    <row r="12723" ht="13.5" hidden="1"/>
    <row r="12724" ht="13.5" hidden="1"/>
    <row r="12725" ht="13.5" hidden="1"/>
    <row r="12726" ht="13.5" hidden="1"/>
    <row r="12727" ht="13.5" hidden="1"/>
    <row r="12728" ht="13.5" hidden="1"/>
    <row r="12729" ht="13.5" hidden="1"/>
    <row r="12730" ht="13.5" hidden="1"/>
    <row r="12731" ht="13.5" hidden="1"/>
    <row r="12732" ht="13.5" hidden="1"/>
    <row r="12733" ht="13.5" hidden="1"/>
    <row r="12734" ht="13.5" hidden="1"/>
    <row r="12735" ht="13.5" hidden="1"/>
    <row r="12736" ht="13.5" hidden="1"/>
    <row r="12737" ht="13.5" hidden="1"/>
    <row r="12738" ht="13.5" hidden="1"/>
    <row r="12739" ht="13.5" hidden="1"/>
    <row r="12740" ht="13.5" hidden="1"/>
    <row r="12741" ht="13.5" hidden="1"/>
    <row r="12742" ht="13.5" hidden="1"/>
    <row r="12743" ht="13.5" hidden="1"/>
    <row r="12744" ht="13.5" hidden="1"/>
    <row r="12745" ht="13.5" hidden="1"/>
    <row r="12746" ht="13.5" hidden="1"/>
    <row r="12747" ht="13.5" hidden="1"/>
    <row r="12748" ht="13.5" hidden="1"/>
    <row r="12749" ht="13.5" hidden="1"/>
    <row r="12750" ht="13.5" hidden="1"/>
    <row r="12751" ht="13.5" hidden="1"/>
    <row r="12752" ht="13.5" hidden="1"/>
    <row r="12753" ht="13.5" hidden="1"/>
    <row r="12754" ht="13.5" hidden="1"/>
    <row r="12755" ht="13.5" hidden="1"/>
    <row r="12756" ht="13.5" hidden="1"/>
    <row r="12757" ht="13.5" hidden="1"/>
    <row r="12758" ht="13.5" hidden="1"/>
    <row r="12759" ht="13.5" hidden="1"/>
    <row r="12760" ht="13.5" hidden="1"/>
    <row r="12761" ht="13.5" hidden="1"/>
    <row r="12762" ht="13.5" hidden="1"/>
    <row r="12763" ht="13.5" hidden="1"/>
    <row r="12764" ht="13.5" hidden="1"/>
    <row r="12765" ht="13.5" hidden="1"/>
    <row r="12766" ht="13.5" hidden="1"/>
    <row r="12767" ht="13.5" hidden="1"/>
    <row r="12768" ht="13.5" hidden="1"/>
    <row r="12769" ht="13.5" hidden="1"/>
    <row r="12770" ht="13.5" hidden="1"/>
    <row r="12771" ht="13.5" hidden="1"/>
    <row r="12772" ht="13.5" hidden="1"/>
    <row r="12773" ht="13.5" hidden="1"/>
    <row r="12774" ht="13.5" hidden="1"/>
    <row r="12775" ht="13.5" hidden="1"/>
    <row r="12776" ht="13.5" hidden="1"/>
    <row r="12777" ht="13.5" hidden="1"/>
    <row r="12778" ht="13.5" hidden="1"/>
    <row r="12779" ht="13.5" hidden="1"/>
    <row r="12780" ht="13.5" hidden="1"/>
    <row r="12781" ht="13.5" hidden="1"/>
    <row r="12782" ht="13.5" hidden="1"/>
    <row r="12783" ht="13.5" hidden="1"/>
    <row r="12784" ht="13.5" hidden="1"/>
    <row r="12785" ht="13.5" hidden="1"/>
    <row r="12786" ht="13.5" hidden="1"/>
    <row r="12787" ht="13.5" hidden="1"/>
    <row r="12788" ht="13.5" hidden="1"/>
    <row r="12789" ht="13.5" hidden="1"/>
    <row r="12790" ht="13.5" hidden="1"/>
    <row r="12791" ht="13.5" hidden="1"/>
    <row r="12792" ht="13.5" hidden="1"/>
    <row r="12793" ht="13.5" hidden="1"/>
    <row r="12794" ht="13.5" hidden="1"/>
    <row r="12795" ht="13.5" hidden="1"/>
    <row r="12796" ht="13.5" hidden="1"/>
    <row r="12797" ht="13.5" hidden="1"/>
    <row r="12798" ht="13.5" hidden="1"/>
    <row r="12799" ht="13.5" hidden="1"/>
    <row r="12800" ht="13.5" hidden="1"/>
    <row r="12801" ht="13.5" hidden="1"/>
    <row r="12802" ht="13.5" hidden="1"/>
    <row r="12803" ht="13.5" hidden="1"/>
    <row r="12804" ht="13.5" hidden="1"/>
    <row r="12805" ht="13.5" hidden="1"/>
    <row r="12806" ht="13.5" hidden="1"/>
    <row r="12807" ht="13.5" hidden="1"/>
    <row r="12808" ht="13.5" hidden="1"/>
    <row r="12809" ht="13.5" hidden="1"/>
    <row r="12810" ht="13.5" hidden="1"/>
    <row r="12811" ht="13.5" hidden="1"/>
    <row r="12812" ht="13.5" hidden="1"/>
    <row r="12813" ht="13.5" hidden="1"/>
    <row r="12814" ht="13.5" hidden="1"/>
    <row r="12815" ht="13.5" hidden="1"/>
    <row r="12816" ht="13.5" hidden="1"/>
    <row r="12817" ht="13.5" hidden="1"/>
    <row r="12818" ht="13.5" hidden="1"/>
    <row r="12819" ht="13.5" hidden="1"/>
    <row r="12820" ht="13.5" hidden="1"/>
    <row r="12821" ht="13.5" hidden="1"/>
    <row r="12822" ht="13.5" hidden="1"/>
    <row r="12823" ht="13.5" hidden="1"/>
    <row r="12824" ht="13.5" hidden="1"/>
    <row r="12825" ht="13.5" hidden="1"/>
    <row r="12826" ht="13.5" hidden="1"/>
    <row r="12827" ht="13.5" hidden="1"/>
    <row r="12828" ht="13.5" hidden="1"/>
    <row r="12829" ht="13.5" hidden="1"/>
    <row r="12830" ht="13.5" hidden="1"/>
    <row r="12831" ht="13.5" hidden="1"/>
    <row r="12832" ht="13.5" hidden="1"/>
    <row r="12833" ht="13.5" hidden="1"/>
    <row r="12834" ht="13.5" hidden="1"/>
    <row r="12835" ht="13.5" hidden="1"/>
    <row r="12836" ht="13.5" hidden="1"/>
    <row r="12837" ht="13.5" hidden="1"/>
    <row r="12838" ht="13.5" hidden="1"/>
    <row r="12839" ht="13.5" hidden="1"/>
    <row r="12840" ht="13.5" hidden="1"/>
    <row r="12841" ht="13.5" hidden="1"/>
    <row r="12842" ht="13.5" hidden="1"/>
    <row r="12843" ht="13.5" hidden="1"/>
    <row r="12844" ht="13.5" hidden="1"/>
    <row r="12845" ht="13.5" hidden="1"/>
    <row r="12846" ht="13.5" hidden="1"/>
    <row r="12847" ht="13.5" hidden="1"/>
    <row r="12848" ht="13.5" hidden="1"/>
    <row r="12849" ht="13.5" hidden="1"/>
    <row r="12850" ht="13.5" hidden="1"/>
    <row r="12851" ht="13.5" hidden="1"/>
    <row r="12852" ht="13.5" hidden="1"/>
    <row r="12853" ht="13.5" hidden="1"/>
    <row r="12854" ht="13.5" hidden="1"/>
    <row r="12855" ht="13.5" hidden="1"/>
    <row r="12856" ht="13.5" hidden="1"/>
    <row r="12857" ht="13.5" hidden="1"/>
    <row r="12858" ht="13.5" hidden="1"/>
    <row r="12859" ht="13.5" hidden="1"/>
    <row r="12860" ht="13.5" hidden="1"/>
    <row r="12861" ht="13.5" hidden="1"/>
    <row r="12862" ht="13.5" hidden="1"/>
    <row r="12863" ht="13.5" hidden="1"/>
    <row r="12864" ht="13.5" hidden="1"/>
    <row r="12865" ht="13.5" hidden="1"/>
    <row r="12866" ht="13.5" hidden="1"/>
    <row r="12867" ht="13.5" hidden="1"/>
    <row r="12868" ht="13.5" hidden="1"/>
    <row r="12869" ht="13.5" hidden="1"/>
    <row r="12870" ht="13.5" hidden="1"/>
    <row r="12871" ht="13.5" hidden="1"/>
    <row r="12872" ht="13.5" hidden="1"/>
    <row r="12873" ht="13.5" hidden="1"/>
    <row r="12874" ht="13.5" hidden="1"/>
    <row r="12875" ht="13.5" hidden="1"/>
    <row r="12876" ht="13.5" hidden="1"/>
    <row r="12877" ht="13.5" hidden="1"/>
    <row r="12878" ht="13.5" hidden="1"/>
    <row r="12879" ht="13.5" hidden="1"/>
    <row r="12880" ht="13.5" hidden="1"/>
    <row r="12881" ht="13.5" hidden="1"/>
    <row r="12882" ht="13.5" hidden="1"/>
    <row r="12883" ht="13.5" hidden="1"/>
    <row r="12884" ht="13.5" hidden="1"/>
    <row r="12885" ht="13.5" hidden="1"/>
    <row r="12886" ht="13.5" hidden="1"/>
    <row r="12887" ht="13.5" hidden="1"/>
    <row r="12888" ht="13.5" hidden="1"/>
    <row r="12889" ht="13.5" hidden="1"/>
    <row r="12890" ht="13.5" hidden="1"/>
    <row r="12891" ht="13.5" hidden="1"/>
    <row r="12892" ht="13.5" hidden="1"/>
    <row r="12893" ht="13.5" hidden="1"/>
    <row r="12894" ht="13.5" hidden="1"/>
    <row r="12895" ht="13.5" hidden="1"/>
    <row r="12896" ht="13.5" hidden="1"/>
    <row r="12897" ht="13.5" hidden="1"/>
    <row r="12898" ht="13.5" hidden="1"/>
    <row r="12899" ht="13.5" hidden="1"/>
    <row r="12900" ht="13.5" hidden="1"/>
    <row r="12901" ht="13.5" hidden="1"/>
    <row r="12902" ht="13.5" hidden="1"/>
    <row r="12903" ht="13.5" hidden="1"/>
    <row r="12904" ht="13.5" hidden="1"/>
    <row r="12905" ht="13.5" hidden="1"/>
    <row r="12906" ht="13.5" hidden="1"/>
    <row r="12907" ht="13.5" hidden="1"/>
    <row r="12908" ht="13.5" hidden="1"/>
    <row r="12909" ht="13.5" hidden="1"/>
    <row r="12910" ht="13.5" hidden="1"/>
    <row r="12911" ht="13.5" hidden="1"/>
    <row r="12912" ht="13.5" hidden="1"/>
    <row r="12913" ht="13.5" hidden="1"/>
    <row r="12914" ht="13.5" hidden="1"/>
    <row r="12915" ht="13.5" hidden="1"/>
    <row r="12916" ht="13.5" hidden="1"/>
    <row r="12917" ht="13.5" hidden="1"/>
    <row r="12918" ht="13.5" hidden="1"/>
    <row r="12919" ht="13.5" hidden="1"/>
    <row r="12920" ht="13.5" hidden="1"/>
    <row r="12921" ht="13.5" hidden="1"/>
    <row r="12922" ht="13.5" hidden="1"/>
    <row r="12923" ht="13.5" hidden="1"/>
    <row r="12924" ht="13.5" hidden="1"/>
    <row r="12925" ht="13.5" hidden="1"/>
    <row r="12926" ht="13.5" hidden="1"/>
    <row r="12927" ht="13.5" hidden="1"/>
    <row r="12928" ht="13.5" hidden="1"/>
    <row r="12929" ht="13.5" hidden="1"/>
    <row r="12930" ht="13.5" hidden="1"/>
    <row r="12931" ht="13.5" hidden="1"/>
    <row r="12932" ht="13.5" hidden="1"/>
    <row r="12933" ht="13.5" hidden="1"/>
    <row r="12934" ht="13.5" hidden="1"/>
    <row r="12935" ht="13.5" hidden="1"/>
    <row r="12936" ht="13.5" hidden="1"/>
    <row r="12937" ht="13.5" hidden="1"/>
    <row r="12938" ht="13.5" hidden="1"/>
    <row r="12939" ht="13.5" hidden="1"/>
    <row r="12940" ht="13.5" hidden="1"/>
    <row r="12941" ht="13.5" hidden="1"/>
    <row r="12942" ht="13.5" hidden="1"/>
    <row r="12943" ht="13.5" hidden="1"/>
    <row r="12944" ht="13.5" hidden="1"/>
    <row r="12945" ht="13.5" hidden="1"/>
    <row r="12946" ht="13.5" hidden="1"/>
    <row r="12947" ht="13.5" hidden="1"/>
    <row r="12948" ht="13.5" hidden="1"/>
    <row r="12949" ht="13.5" hidden="1"/>
    <row r="12950" ht="13.5" hidden="1"/>
    <row r="12951" ht="13.5" hidden="1"/>
    <row r="12952" ht="13.5" hidden="1"/>
    <row r="12953" ht="13.5" hidden="1"/>
    <row r="12954" ht="13.5" hidden="1"/>
    <row r="12955" ht="13.5" hidden="1"/>
    <row r="12956" ht="13.5" hidden="1"/>
    <row r="12957" ht="13.5" hidden="1"/>
    <row r="12958" ht="13.5" hidden="1"/>
    <row r="12959" ht="13.5" hidden="1"/>
    <row r="12960" ht="13.5" hidden="1"/>
    <row r="12961" ht="13.5" hidden="1"/>
    <row r="12962" ht="13.5" hidden="1"/>
    <row r="12963" ht="13.5" hidden="1"/>
    <row r="12964" ht="13.5" hidden="1"/>
    <row r="12965" ht="13.5" hidden="1"/>
    <row r="12966" ht="13.5" hidden="1"/>
    <row r="12967" ht="13.5" hidden="1"/>
    <row r="12968" ht="13.5" hidden="1"/>
    <row r="12969" ht="13.5" hidden="1"/>
    <row r="12970" ht="13.5" hidden="1"/>
    <row r="12971" ht="13.5" hidden="1"/>
    <row r="12972" ht="13.5" hidden="1"/>
    <row r="12973" ht="13.5" hidden="1"/>
    <row r="12974" ht="13.5" hidden="1"/>
    <row r="12975" ht="13.5" hidden="1"/>
    <row r="12976" ht="13.5" hidden="1"/>
    <row r="12977" ht="13.5" hidden="1"/>
    <row r="12978" ht="13.5" hidden="1"/>
    <row r="12979" ht="13.5" hidden="1"/>
    <row r="12980" ht="13.5" hidden="1"/>
    <row r="12981" ht="13.5" hidden="1"/>
    <row r="12982" ht="13.5" hidden="1"/>
    <row r="12983" ht="13.5" hidden="1"/>
    <row r="12984" ht="13.5" hidden="1"/>
    <row r="12985" ht="13.5" hidden="1"/>
    <row r="12986" ht="13.5" hidden="1"/>
    <row r="12987" ht="13.5" hidden="1"/>
    <row r="12988" ht="13.5" hidden="1"/>
    <row r="12989" ht="13.5" hidden="1"/>
    <row r="12990" ht="13.5" hidden="1"/>
    <row r="12991" ht="13.5" hidden="1"/>
    <row r="12992" ht="13.5" hidden="1"/>
    <row r="12993" ht="13.5" hidden="1"/>
    <row r="12994" ht="13.5" hidden="1"/>
    <row r="12995" ht="13.5" hidden="1"/>
    <row r="12996" ht="13.5" hidden="1"/>
    <row r="12997" ht="13.5" hidden="1"/>
    <row r="12998" ht="13.5" hidden="1"/>
    <row r="12999" ht="13.5" hidden="1"/>
    <row r="13000" ht="13.5" hidden="1"/>
    <row r="13001" ht="13.5" hidden="1"/>
    <row r="13002" ht="13.5" hidden="1"/>
    <row r="13003" ht="13.5" hidden="1"/>
    <row r="13004" ht="13.5" hidden="1"/>
    <row r="13005" ht="13.5" hidden="1"/>
    <row r="13006" ht="13.5" hidden="1"/>
    <row r="13007" ht="13.5" hidden="1"/>
    <row r="13008" ht="13.5" hidden="1"/>
    <row r="13009" ht="13.5" hidden="1"/>
    <row r="13010" ht="13.5" hidden="1"/>
    <row r="13011" ht="13.5" hidden="1"/>
    <row r="13012" ht="13.5" hidden="1"/>
    <row r="13013" ht="13.5" hidden="1"/>
    <row r="13014" ht="13.5" hidden="1"/>
    <row r="13015" ht="13.5" hidden="1"/>
    <row r="13016" ht="13.5" hidden="1"/>
    <row r="13017" ht="13.5" hidden="1"/>
    <row r="13018" ht="13.5" hidden="1"/>
    <row r="13019" ht="13.5" hidden="1"/>
    <row r="13020" ht="13.5" hidden="1"/>
    <row r="13021" ht="13.5" hidden="1"/>
    <row r="13022" ht="13.5" hidden="1"/>
    <row r="13023" ht="13.5" hidden="1"/>
    <row r="13024" ht="13.5" hidden="1"/>
    <row r="13025" ht="13.5" hidden="1"/>
    <row r="13026" ht="13.5" hidden="1"/>
    <row r="13027" ht="13.5" hidden="1"/>
    <row r="13028" ht="13.5" hidden="1"/>
    <row r="13029" ht="13.5" hidden="1"/>
    <row r="13030" ht="13.5" hidden="1"/>
    <row r="13031" ht="13.5" hidden="1"/>
    <row r="13032" ht="13.5" hidden="1"/>
    <row r="13033" ht="13.5" hidden="1"/>
    <row r="13034" ht="13.5" hidden="1"/>
    <row r="13035" ht="13.5" hidden="1"/>
    <row r="13036" ht="13.5" hidden="1"/>
    <row r="13037" ht="13.5" hidden="1"/>
    <row r="13038" ht="13.5" hidden="1"/>
    <row r="13039" ht="13.5" hidden="1"/>
    <row r="13040" ht="13.5" hidden="1"/>
    <row r="13041" ht="13.5" hidden="1"/>
    <row r="13042" ht="13.5" hidden="1"/>
    <row r="13043" ht="13.5" hidden="1"/>
    <row r="13044" ht="13.5" hidden="1"/>
    <row r="13045" ht="13.5" hidden="1"/>
    <row r="13046" ht="13.5" hidden="1"/>
    <row r="13047" ht="13.5" hidden="1"/>
    <row r="13048" ht="13.5" hidden="1"/>
    <row r="13049" ht="13.5" hidden="1"/>
    <row r="13050" ht="13.5" hidden="1"/>
    <row r="13051" ht="13.5" hidden="1"/>
    <row r="13052" ht="13.5" hidden="1"/>
    <row r="13053" ht="13.5" hidden="1"/>
    <row r="13054" ht="13.5" hidden="1"/>
    <row r="13055" ht="13.5" hidden="1"/>
    <row r="13056" ht="13.5" hidden="1"/>
    <row r="13057" ht="13.5" hidden="1"/>
    <row r="13058" ht="13.5" hidden="1"/>
    <row r="13059" ht="13.5" hidden="1"/>
    <row r="13060" ht="13.5" hidden="1"/>
    <row r="13061" ht="13.5" hidden="1"/>
    <row r="13062" ht="13.5" hidden="1"/>
    <row r="13063" ht="13.5" hidden="1"/>
    <row r="13064" ht="13.5" hidden="1"/>
    <row r="13065" ht="13.5" hidden="1"/>
    <row r="13066" ht="13.5" hidden="1"/>
    <row r="13067" ht="13.5" hidden="1"/>
    <row r="13068" ht="13.5" hidden="1"/>
    <row r="13069" ht="13.5" hidden="1"/>
    <row r="13070" ht="13.5" hidden="1"/>
    <row r="13071" ht="13.5" hidden="1"/>
    <row r="13072" ht="13.5" hidden="1"/>
    <row r="13073" ht="13.5" hidden="1"/>
    <row r="13074" ht="13.5" hidden="1"/>
    <row r="13075" ht="13.5" hidden="1"/>
    <row r="13076" ht="13.5" hidden="1"/>
    <row r="13077" ht="13.5" hidden="1"/>
    <row r="13078" ht="13.5" hidden="1"/>
    <row r="13079" ht="13.5" hidden="1"/>
    <row r="13080" ht="13.5" hidden="1"/>
    <row r="13081" ht="13.5" hidden="1"/>
    <row r="13082" ht="13.5" hidden="1"/>
    <row r="13083" ht="13.5" hidden="1"/>
    <row r="13084" ht="13.5" hidden="1"/>
    <row r="13085" ht="13.5" hidden="1"/>
    <row r="13086" ht="13.5" hidden="1"/>
    <row r="13087" ht="13.5" hidden="1"/>
    <row r="13088" ht="13.5" hidden="1"/>
    <row r="13089" ht="13.5" hidden="1"/>
    <row r="13090" ht="13.5" hidden="1"/>
    <row r="13091" ht="13.5" hidden="1"/>
    <row r="13092" ht="13.5" hidden="1"/>
    <row r="13093" ht="13.5" hidden="1"/>
    <row r="13094" ht="13.5" hidden="1"/>
    <row r="13095" ht="13.5" hidden="1"/>
    <row r="13096" ht="13.5" hidden="1"/>
    <row r="13097" ht="13.5" hidden="1"/>
    <row r="13098" ht="13.5" hidden="1"/>
    <row r="13099" ht="13.5" hidden="1"/>
    <row r="13100" ht="13.5" hidden="1"/>
    <row r="13101" ht="13.5" hidden="1"/>
    <row r="13102" ht="13.5" hidden="1"/>
    <row r="13103" ht="13.5" hidden="1"/>
    <row r="13104" ht="13.5" hidden="1"/>
    <row r="13105" ht="13.5" hidden="1"/>
    <row r="13106" ht="13.5" hidden="1"/>
    <row r="13107" ht="13.5" hidden="1"/>
    <row r="13108" ht="13.5" hidden="1"/>
    <row r="13109" ht="13.5" hidden="1"/>
    <row r="13110" ht="13.5" hidden="1"/>
    <row r="13111" ht="13.5" hidden="1"/>
    <row r="13112" ht="13.5" hidden="1"/>
    <row r="13113" ht="13.5" hidden="1"/>
    <row r="13114" ht="13.5" hidden="1"/>
    <row r="13115" ht="13.5" hidden="1"/>
    <row r="13116" ht="13.5" hidden="1"/>
    <row r="13117" ht="13.5" hidden="1"/>
    <row r="13118" ht="13.5" hidden="1"/>
    <row r="13119" ht="13.5" hidden="1"/>
    <row r="13120" ht="13.5" hidden="1"/>
    <row r="13121" ht="13.5" hidden="1"/>
    <row r="13122" ht="13.5" hidden="1"/>
    <row r="13123" ht="13.5" hidden="1"/>
    <row r="13124" ht="13.5" hidden="1"/>
    <row r="13125" ht="13.5" hidden="1"/>
    <row r="13126" ht="13.5" hidden="1"/>
    <row r="13127" ht="13.5" hidden="1"/>
    <row r="13128" ht="13.5" hidden="1"/>
    <row r="13129" ht="13.5" hidden="1"/>
    <row r="13130" ht="13.5" hidden="1"/>
    <row r="13131" ht="13.5" hidden="1"/>
    <row r="13132" ht="13.5" hidden="1"/>
    <row r="13133" ht="13.5" hidden="1"/>
    <row r="13134" ht="13.5" hidden="1"/>
    <row r="13135" ht="13.5" hidden="1"/>
    <row r="13136" ht="13.5" hidden="1"/>
    <row r="13137" ht="13.5" hidden="1"/>
    <row r="13138" ht="13.5" hidden="1"/>
    <row r="13139" ht="13.5" hidden="1"/>
    <row r="13140" ht="13.5" hidden="1"/>
    <row r="13141" ht="13.5" hidden="1"/>
    <row r="13142" ht="13.5" hidden="1"/>
    <row r="13143" ht="13.5" hidden="1"/>
    <row r="13144" ht="13.5" hidden="1"/>
    <row r="13145" ht="13.5" hidden="1"/>
    <row r="13146" ht="13.5" hidden="1"/>
    <row r="13147" ht="13.5" hidden="1"/>
    <row r="13148" ht="13.5" hidden="1"/>
    <row r="13149" ht="13.5" hidden="1"/>
    <row r="13150" ht="13.5" hidden="1"/>
    <row r="13151" ht="13.5" hidden="1"/>
    <row r="13152" ht="13.5" hidden="1"/>
    <row r="13153" ht="13.5" hidden="1"/>
    <row r="13154" ht="13.5" hidden="1"/>
    <row r="13155" ht="13.5" hidden="1"/>
    <row r="13156" ht="13.5" hidden="1"/>
    <row r="13157" ht="13.5" hidden="1"/>
    <row r="13158" ht="13.5" hidden="1"/>
    <row r="13159" ht="13.5" hidden="1"/>
    <row r="13160" ht="13.5" hidden="1"/>
    <row r="13161" ht="13.5" hidden="1"/>
    <row r="13162" ht="13.5" hidden="1"/>
    <row r="13163" ht="13.5" hidden="1"/>
    <row r="13164" ht="13.5" hidden="1"/>
    <row r="13165" ht="13.5" hidden="1"/>
    <row r="13166" ht="13.5" hidden="1"/>
    <row r="13167" ht="13.5" hidden="1"/>
    <row r="13168" ht="13.5" hidden="1"/>
    <row r="13169" ht="13.5" hidden="1"/>
    <row r="13170" ht="13.5" hidden="1"/>
    <row r="13171" ht="13.5" hidden="1"/>
    <row r="13172" ht="13.5" hidden="1"/>
    <row r="13173" ht="13.5" hidden="1"/>
    <row r="13174" ht="13.5" hidden="1"/>
    <row r="13175" ht="13.5" hidden="1"/>
    <row r="13176" ht="13.5" hidden="1"/>
    <row r="13177" ht="13.5" hidden="1"/>
    <row r="13178" ht="13.5" hidden="1"/>
    <row r="13179" ht="13.5" hidden="1"/>
    <row r="13180" ht="13.5" hidden="1"/>
    <row r="13181" ht="13.5" hidden="1"/>
    <row r="13182" ht="13.5" hidden="1"/>
    <row r="13183" ht="13.5" hidden="1"/>
    <row r="13184" ht="13.5" hidden="1"/>
    <row r="13185" ht="13.5" hidden="1"/>
    <row r="13186" ht="13.5" hidden="1"/>
    <row r="13187" ht="13.5" hidden="1"/>
    <row r="13188" ht="13.5" hidden="1"/>
    <row r="13189" ht="13.5" hidden="1"/>
    <row r="13190" ht="13.5" hidden="1"/>
    <row r="13191" ht="13.5" hidden="1"/>
    <row r="13192" ht="13.5" hidden="1"/>
    <row r="13193" ht="13.5" hidden="1"/>
    <row r="13194" ht="13.5" hidden="1"/>
    <row r="13195" ht="13.5" hidden="1"/>
    <row r="13196" ht="13.5" hidden="1"/>
    <row r="13197" ht="13.5" hidden="1"/>
    <row r="13198" ht="13.5" hidden="1"/>
    <row r="13199" ht="13.5" hidden="1"/>
    <row r="13200" ht="13.5" hidden="1"/>
    <row r="13201" ht="13.5" hidden="1"/>
    <row r="13202" ht="13.5" hidden="1"/>
    <row r="13203" ht="13.5" hidden="1"/>
    <row r="13204" ht="13.5" hidden="1"/>
    <row r="13205" ht="13.5" hidden="1"/>
    <row r="13206" ht="13.5" hidden="1"/>
    <row r="13207" ht="13.5" hidden="1"/>
    <row r="13208" ht="13.5" hidden="1"/>
    <row r="13209" ht="13.5" hidden="1"/>
    <row r="13210" ht="13.5" hidden="1"/>
    <row r="13211" ht="13.5" hidden="1"/>
    <row r="13212" ht="13.5" hidden="1"/>
    <row r="13213" ht="13.5" hidden="1"/>
    <row r="13214" ht="13.5" hidden="1"/>
    <row r="13215" ht="13.5" hidden="1"/>
    <row r="13216" ht="13.5" hidden="1"/>
    <row r="13217" ht="13.5" hidden="1"/>
    <row r="13218" ht="13.5" hidden="1"/>
    <row r="13219" ht="13.5" hidden="1"/>
    <row r="13220" ht="13.5" hidden="1"/>
    <row r="13221" ht="13.5" hidden="1"/>
    <row r="13222" ht="13.5" hidden="1"/>
    <row r="13223" ht="13.5" hidden="1"/>
    <row r="13224" ht="13.5" hidden="1"/>
    <row r="13225" ht="13.5" hidden="1"/>
    <row r="13226" ht="13.5" hidden="1"/>
    <row r="13227" ht="13.5" hidden="1"/>
    <row r="13228" ht="13.5" hidden="1"/>
    <row r="13229" ht="13.5" hidden="1"/>
    <row r="13230" ht="13.5" hidden="1"/>
    <row r="13231" ht="13.5" hidden="1"/>
    <row r="13232" ht="13.5" hidden="1"/>
    <row r="13233" ht="13.5" hidden="1"/>
    <row r="13234" ht="13.5" hidden="1"/>
    <row r="13235" ht="13.5" hidden="1"/>
    <row r="13236" ht="13.5" hidden="1"/>
    <row r="13237" ht="13.5" hidden="1"/>
    <row r="13238" ht="13.5" hidden="1"/>
    <row r="13239" ht="13.5" hidden="1"/>
    <row r="13240" ht="13.5" hidden="1"/>
    <row r="13241" ht="13.5" hidden="1"/>
    <row r="13242" ht="13.5" hidden="1"/>
    <row r="13243" ht="13.5" hidden="1"/>
    <row r="13244" ht="13.5" hidden="1"/>
    <row r="13245" ht="13.5" hidden="1"/>
    <row r="13246" ht="13.5" hidden="1"/>
    <row r="13247" ht="13.5" hidden="1"/>
    <row r="13248" ht="13.5" hidden="1"/>
    <row r="13249" ht="13.5" hidden="1"/>
    <row r="13250" ht="13.5" hidden="1"/>
    <row r="13251" ht="13.5" hidden="1"/>
    <row r="13252" ht="13.5" hidden="1"/>
    <row r="13253" ht="13.5" hidden="1"/>
    <row r="13254" ht="13.5" hidden="1"/>
    <row r="13255" ht="13.5" hidden="1"/>
    <row r="13256" ht="13.5" hidden="1"/>
    <row r="13257" ht="13.5" hidden="1"/>
    <row r="13258" ht="13.5" hidden="1"/>
    <row r="13259" ht="13.5" hidden="1"/>
    <row r="13260" ht="13.5" hidden="1"/>
    <row r="13261" ht="13.5" hidden="1"/>
    <row r="13262" ht="13.5" hidden="1"/>
    <row r="13263" ht="13.5" hidden="1"/>
    <row r="13264" ht="13.5" hidden="1"/>
    <row r="13265" ht="13.5" hidden="1"/>
    <row r="13266" ht="13.5" hidden="1"/>
    <row r="13267" ht="13.5" hidden="1"/>
    <row r="13268" ht="13.5" hidden="1"/>
    <row r="13269" ht="13.5" hidden="1"/>
    <row r="13270" ht="13.5" hidden="1"/>
    <row r="13271" ht="13.5" hidden="1"/>
    <row r="13272" ht="13.5" hidden="1"/>
    <row r="13273" ht="13.5" hidden="1"/>
    <row r="13274" ht="13.5" hidden="1"/>
    <row r="13275" ht="13.5" hidden="1"/>
    <row r="13276" ht="13.5" hidden="1"/>
    <row r="13277" ht="13.5" hidden="1"/>
    <row r="13278" ht="13.5" hidden="1"/>
    <row r="13279" ht="13.5" hidden="1"/>
    <row r="13280" ht="13.5" hidden="1"/>
    <row r="13281" ht="13.5" hidden="1"/>
    <row r="13282" ht="13.5" hidden="1"/>
    <row r="13283" ht="13.5" hidden="1"/>
    <row r="13284" ht="13.5" hidden="1"/>
    <row r="13285" ht="13.5" hidden="1"/>
    <row r="13286" ht="13.5" hidden="1"/>
    <row r="13287" ht="13.5" hidden="1"/>
    <row r="13288" ht="13.5" hidden="1"/>
    <row r="13289" ht="13.5" hidden="1"/>
    <row r="13290" ht="13.5" hidden="1"/>
    <row r="13291" ht="13.5" hidden="1"/>
    <row r="13292" ht="13.5" hidden="1"/>
    <row r="13293" ht="13.5" hidden="1"/>
    <row r="13294" ht="13.5" hidden="1"/>
    <row r="13295" ht="13.5" hidden="1"/>
    <row r="13296" ht="13.5" hidden="1"/>
    <row r="13297" ht="13.5" hidden="1"/>
    <row r="13298" ht="13.5" hidden="1"/>
    <row r="13299" ht="13.5" hidden="1"/>
    <row r="13300" ht="13.5" hidden="1"/>
    <row r="13301" ht="13.5" hidden="1"/>
    <row r="13302" ht="13.5" hidden="1"/>
    <row r="13303" ht="13.5" hidden="1"/>
    <row r="13304" ht="13.5" hidden="1"/>
    <row r="13305" ht="13.5" hidden="1"/>
    <row r="13306" ht="13.5" hidden="1"/>
    <row r="13307" ht="13.5" hidden="1"/>
    <row r="13308" ht="13.5" hidden="1"/>
    <row r="13309" ht="13.5" hidden="1"/>
    <row r="13310" ht="13.5" hidden="1"/>
    <row r="13311" ht="13.5" hidden="1"/>
    <row r="13312" ht="13.5" hidden="1"/>
    <row r="13313" ht="13.5" hidden="1"/>
    <row r="13314" ht="13.5" hidden="1"/>
    <row r="13315" ht="13.5" hidden="1"/>
    <row r="13316" ht="13.5" hidden="1"/>
    <row r="13317" ht="13.5" hidden="1"/>
    <row r="13318" ht="13.5" hidden="1"/>
    <row r="13319" ht="13.5" hidden="1"/>
    <row r="13320" ht="13.5" hidden="1"/>
    <row r="13321" ht="13.5" hidden="1"/>
    <row r="13322" ht="13.5" hidden="1"/>
    <row r="13323" ht="13.5" hidden="1"/>
    <row r="13324" ht="13.5" hidden="1"/>
    <row r="13325" ht="13.5" hidden="1"/>
    <row r="13326" ht="13.5" hidden="1"/>
    <row r="13327" ht="13.5" hidden="1"/>
    <row r="13328" ht="13.5" hidden="1"/>
    <row r="13329" ht="13.5" hidden="1"/>
    <row r="13330" ht="13.5" hidden="1"/>
    <row r="13331" ht="13.5" hidden="1"/>
    <row r="13332" ht="13.5" hidden="1"/>
    <row r="13333" ht="13.5" hidden="1"/>
    <row r="13334" ht="13.5" hidden="1"/>
    <row r="13335" ht="13.5" hidden="1"/>
    <row r="13336" ht="13.5" hidden="1"/>
    <row r="13337" ht="13.5" hidden="1"/>
    <row r="13338" ht="13.5" hidden="1"/>
    <row r="13339" ht="13.5" hidden="1"/>
    <row r="13340" ht="13.5" hidden="1"/>
    <row r="13341" ht="13.5" hidden="1"/>
    <row r="13342" ht="13.5" hidden="1"/>
    <row r="13343" ht="13.5" hidden="1"/>
    <row r="13344" ht="13.5" hidden="1"/>
    <row r="13345" ht="13.5" hidden="1"/>
    <row r="13346" ht="13.5" hidden="1"/>
    <row r="13347" ht="13.5" hidden="1"/>
    <row r="13348" ht="13.5" hidden="1"/>
    <row r="13349" ht="13.5" hidden="1"/>
    <row r="13350" ht="13.5" hidden="1"/>
    <row r="13351" ht="13.5" hidden="1"/>
    <row r="13352" ht="13.5" hidden="1"/>
    <row r="13353" ht="13.5" hidden="1"/>
    <row r="13354" ht="13.5" hidden="1"/>
    <row r="13355" ht="13.5" hidden="1"/>
    <row r="13356" ht="13.5" hidden="1"/>
    <row r="13357" ht="13.5" hidden="1"/>
    <row r="13358" ht="13.5" hidden="1"/>
    <row r="13359" ht="13.5" hidden="1"/>
    <row r="13360" ht="13.5" hidden="1"/>
    <row r="13361" ht="13.5" hidden="1"/>
    <row r="13362" ht="13.5" hidden="1"/>
    <row r="13363" ht="13.5" hidden="1"/>
    <row r="13364" ht="13.5" hidden="1"/>
    <row r="13365" ht="13.5" hidden="1"/>
    <row r="13366" ht="13.5" hidden="1"/>
    <row r="13367" ht="13.5" hidden="1"/>
    <row r="13368" ht="13.5" hidden="1"/>
    <row r="13369" ht="13.5" hidden="1"/>
    <row r="13370" ht="13.5" hidden="1"/>
    <row r="13371" ht="13.5" hidden="1"/>
    <row r="13372" ht="13.5" hidden="1"/>
    <row r="13373" ht="13.5" hidden="1"/>
    <row r="13374" ht="13.5" hidden="1"/>
    <row r="13375" ht="13.5" hidden="1"/>
    <row r="13376" ht="13.5" hidden="1"/>
    <row r="13377" ht="13.5" hidden="1"/>
    <row r="13378" ht="13.5" hidden="1"/>
    <row r="13379" ht="13.5" hidden="1"/>
    <row r="13380" ht="13.5" hidden="1"/>
    <row r="13381" ht="13.5" hidden="1"/>
    <row r="13382" ht="13.5" hidden="1"/>
    <row r="13383" ht="13.5" hidden="1"/>
    <row r="13384" ht="13.5" hidden="1"/>
    <row r="13385" ht="13.5" hidden="1"/>
    <row r="13386" ht="13.5" hidden="1"/>
    <row r="13387" ht="13.5" hidden="1"/>
    <row r="13388" ht="13.5" hidden="1"/>
    <row r="13389" ht="13.5" hidden="1"/>
    <row r="13390" ht="13.5" hidden="1"/>
    <row r="13391" ht="13.5" hidden="1"/>
    <row r="13392" ht="13.5" hidden="1"/>
    <row r="13393" ht="13.5" hidden="1"/>
    <row r="13394" ht="13.5" hidden="1"/>
    <row r="13395" ht="13.5" hidden="1"/>
    <row r="13396" ht="13.5" hidden="1"/>
    <row r="13397" ht="13.5" hidden="1"/>
    <row r="13398" ht="13.5" hidden="1"/>
    <row r="13399" ht="13.5" hidden="1"/>
    <row r="13400" ht="13.5" hidden="1"/>
    <row r="13401" ht="13.5" hidden="1"/>
    <row r="13402" ht="13.5" hidden="1"/>
    <row r="13403" ht="13.5" hidden="1"/>
    <row r="13404" ht="13.5" hidden="1"/>
    <row r="13405" ht="13.5" hidden="1"/>
    <row r="13406" ht="13.5" hidden="1"/>
    <row r="13407" ht="13.5" hidden="1"/>
    <row r="13408" ht="13.5" hidden="1"/>
    <row r="13409" ht="13.5" hidden="1"/>
    <row r="13410" ht="13.5" hidden="1"/>
    <row r="13411" ht="13.5" hidden="1"/>
    <row r="13412" ht="13.5" hidden="1"/>
    <row r="13413" ht="13.5" hidden="1"/>
    <row r="13414" ht="13.5" hidden="1"/>
    <row r="13415" ht="13.5" hidden="1"/>
    <row r="13416" ht="13.5" hidden="1"/>
    <row r="13417" ht="13.5" hidden="1"/>
    <row r="13418" ht="13.5" hidden="1"/>
    <row r="13419" ht="13.5" hidden="1"/>
    <row r="13420" ht="13.5" hidden="1"/>
    <row r="13421" ht="13.5" hidden="1"/>
    <row r="13422" ht="13.5" hidden="1"/>
    <row r="13423" ht="13.5" hidden="1"/>
    <row r="13424" ht="13.5" hidden="1"/>
    <row r="13425" ht="13.5" hidden="1"/>
    <row r="13426" ht="13.5" hidden="1"/>
    <row r="13427" ht="13.5" hidden="1"/>
    <row r="13428" ht="13.5" hidden="1"/>
    <row r="13429" ht="13.5" hidden="1"/>
    <row r="13430" ht="13.5" hidden="1"/>
    <row r="13431" ht="13.5" hidden="1"/>
    <row r="13432" ht="13.5" hidden="1"/>
    <row r="13433" ht="13.5" hidden="1"/>
    <row r="13434" ht="13.5" hidden="1"/>
    <row r="13435" ht="13.5" hidden="1"/>
    <row r="13436" ht="13.5" hidden="1"/>
    <row r="13437" ht="13.5" hidden="1"/>
    <row r="13438" ht="13.5" hidden="1"/>
    <row r="13439" ht="13.5" hidden="1"/>
    <row r="13440" ht="13.5" hidden="1"/>
    <row r="13441" ht="13.5" hidden="1"/>
    <row r="13442" ht="13.5" hidden="1"/>
    <row r="13443" ht="13.5" hidden="1"/>
    <row r="13444" ht="13.5" hidden="1"/>
    <row r="13445" ht="13.5" hidden="1"/>
    <row r="13446" ht="13.5" hidden="1"/>
    <row r="13447" ht="13.5" hidden="1"/>
    <row r="13448" ht="13.5" hidden="1"/>
    <row r="13449" ht="13.5" hidden="1"/>
    <row r="13450" ht="13.5" hidden="1"/>
    <row r="13451" ht="13.5" hidden="1"/>
    <row r="13452" ht="13.5" hidden="1"/>
    <row r="13453" ht="13.5" hidden="1"/>
    <row r="13454" ht="13.5" hidden="1"/>
    <row r="13455" ht="13.5" hidden="1"/>
    <row r="13456" ht="13.5" hidden="1"/>
    <row r="13457" ht="13.5" hidden="1"/>
    <row r="13458" ht="13.5" hidden="1"/>
    <row r="13459" ht="13.5" hidden="1"/>
    <row r="13460" ht="13.5" hidden="1"/>
    <row r="13461" ht="13.5" hidden="1"/>
    <row r="13462" ht="13.5" hidden="1"/>
    <row r="13463" ht="13.5" hidden="1"/>
    <row r="13464" ht="13.5" hidden="1"/>
    <row r="13465" ht="13.5" hidden="1"/>
    <row r="13466" ht="13.5" hidden="1"/>
    <row r="13467" ht="13.5" hidden="1"/>
    <row r="13468" ht="13.5" hidden="1"/>
    <row r="13469" ht="13.5" hidden="1"/>
    <row r="13470" ht="13.5" hidden="1"/>
    <row r="13471" ht="13.5" hidden="1"/>
    <row r="13472" ht="13.5" hidden="1"/>
    <row r="13473" ht="13.5" hidden="1"/>
    <row r="13474" ht="13.5" hidden="1"/>
    <row r="13475" ht="13.5" hidden="1"/>
    <row r="13476" ht="13.5" hidden="1"/>
    <row r="13477" ht="13.5" hidden="1"/>
    <row r="13478" ht="13.5" hidden="1"/>
    <row r="13479" ht="13.5" hidden="1"/>
    <row r="13480" ht="13.5" hidden="1"/>
    <row r="13481" ht="13.5" hidden="1"/>
    <row r="13482" ht="13.5" hidden="1"/>
    <row r="13483" ht="13.5" hidden="1"/>
    <row r="13484" ht="13.5" hidden="1"/>
    <row r="13485" ht="13.5" hidden="1"/>
    <row r="13486" ht="13.5" hidden="1"/>
    <row r="13487" ht="13.5" hidden="1"/>
    <row r="13488" ht="13.5" hidden="1"/>
    <row r="13489" ht="13.5" hidden="1"/>
    <row r="13490" ht="13.5" hidden="1"/>
    <row r="13491" ht="13.5" hidden="1"/>
    <row r="13492" ht="13.5" hidden="1"/>
    <row r="13493" ht="13.5" hidden="1"/>
    <row r="13494" ht="13.5" hidden="1"/>
    <row r="13495" ht="13.5" hidden="1"/>
    <row r="13496" ht="13.5" hidden="1"/>
    <row r="13497" ht="13.5" hidden="1"/>
    <row r="13498" ht="13.5" hidden="1"/>
    <row r="13499" ht="13.5" hidden="1"/>
    <row r="13500" ht="13.5" hidden="1"/>
    <row r="13501" ht="13.5" hidden="1"/>
    <row r="13502" ht="13.5" hidden="1"/>
    <row r="13503" ht="13.5" hidden="1"/>
    <row r="13504" ht="13.5" hidden="1"/>
    <row r="13505" ht="13.5" hidden="1"/>
    <row r="13506" ht="13.5" hidden="1"/>
    <row r="13507" ht="13.5" hidden="1"/>
    <row r="13508" ht="13.5" hidden="1"/>
    <row r="13509" ht="13.5" hidden="1"/>
    <row r="13510" ht="13.5" hidden="1"/>
    <row r="13511" ht="13.5" hidden="1"/>
    <row r="13512" ht="13.5" hidden="1"/>
    <row r="13513" ht="13.5" hidden="1"/>
    <row r="13514" ht="13.5" hidden="1"/>
    <row r="13515" ht="13.5" hidden="1"/>
    <row r="13516" ht="13.5" hidden="1"/>
    <row r="13517" ht="13.5" hidden="1"/>
    <row r="13518" ht="13.5" hidden="1"/>
    <row r="13519" ht="13.5" hidden="1"/>
    <row r="13520" ht="13.5" hidden="1"/>
    <row r="13521" ht="13.5" hidden="1"/>
    <row r="13522" ht="13.5" hidden="1"/>
    <row r="13523" ht="13.5" hidden="1"/>
    <row r="13524" ht="13.5" hidden="1"/>
    <row r="13525" ht="13.5" hidden="1"/>
    <row r="13526" ht="13.5" hidden="1"/>
    <row r="13527" ht="13.5" hidden="1"/>
    <row r="13528" ht="13.5" hidden="1"/>
    <row r="13529" ht="13.5" hidden="1"/>
    <row r="13530" ht="13.5" hidden="1"/>
    <row r="13531" ht="13.5" hidden="1"/>
    <row r="13532" ht="13.5" hidden="1"/>
    <row r="13533" ht="13.5" hidden="1"/>
    <row r="13534" ht="13.5" hidden="1"/>
    <row r="13535" ht="13.5" hidden="1"/>
    <row r="13536" ht="13.5" hidden="1"/>
    <row r="13537" ht="13.5" hidden="1"/>
    <row r="13538" ht="13.5" hidden="1"/>
    <row r="13539" ht="13.5" hidden="1"/>
    <row r="13540" ht="13.5" hidden="1"/>
    <row r="13541" ht="13.5" hidden="1"/>
    <row r="13542" ht="13.5" hidden="1"/>
    <row r="13543" ht="13.5" hidden="1"/>
    <row r="13544" ht="13.5" hidden="1"/>
    <row r="13545" ht="13.5" hidden="1"/>
    <row r="13546" ht="13.5" hidden="1"/>
    <row r="13547" ht="13.5" hidden="1"/>
    <row r="13548" ht="13.5" hidden="1"/>
    <row r="13549" ht="13.5" hidden="1"/>
    <row r="13550" ht="13.5" hidden="1"/>
    <row r="13551" ht="13.5" hidden="1"/>
    <row r="13552" ht="13.5" hidden="1"/>
    <row r="13553" ht="13.5" hidden="1"/>
    <row r="13554" ht="13.5" hidden="1"/>
    <row r="13555" ht="13.5" hidden="1"/>
    <row r="13556" ht="13.5" hidden="1"/>
    <row r="13557" ht="13.5" hidden="1"/>
    <row r="13558" ht="13.5" hidden="1"/>
    <row r="13559" ht="13.5" hidden="1"/>
    <row r="13560" ht="13.5" hidden="1"/>
    <row r="13561" ht="13.5" hidden="1"/>
    <row r="13562" ht="13.5" hidden="1"/>
    <row r="13563" ht="13.5" hidden="1"/>
    <row r="13564" ht="13.5" hidden="1"/>
    <row r="13565" ht="13.5" hidden="1"/>
    <row r="13566" ht="13.5" hidden="1"/>
    <row r="13567" ht="13.5" hidden="1"/>
    <row r="13568" ht="13.5" hidden="1"/>
    <row r="13569" ht="13.5" hidden="1"/>
    <row r="13570" ht="13.5" hidden="1"/>
    <row r="13571" ht="13.5" hidden="1"/>
    <row r="13572" ht="13.5" hidden="1"/>
    <row r="13573" ht="13.5" hidden="1"/>
    <row r="13574" ht="13.5" hidden="1"/>
    <row r="13575" ht="13.5" hidden="1"/>
    <row r="13576" ht="13.5" hidden="1"/>
    <row r="13577" ht="13.5" hidden="1"/>
    <row r="13578" ht="13.5" hidden="1"/>
    <row r="13579" ht="13.5" hidden="1"/>
    <row r="13580" ht="13.5" hidden="1"/>
    <row r="13581" ht="13.5" hidden="1"/>
    <row r="13582" ht="13.5" hidden="1"/>
    <row r="13583" ht="13.5" hidden="1"/>
    <row r="13584" ht="13.5" hidden="1"/>
    <row r="13585" ht="13.5" hidden="1"/>
    <row r="13586" ht="13.5" hidden="1"/>
    <row r="13587" ht="13.5" hidden="1"/>
    <row r="13588" ht="13.5" hidden="1"/>
    <row r="13589" ht="13.5" hidden="1"/>
    <row r="13590" ht="13.5" hidden="1"/>
    <row r="13591" ht="13.5" hidden="1"/>
    <row r="13592" ht="13.5" hidden="1"/>
    <row r="13593" ht="13.5" hidden="1"/>
    <row r="13594" ht="13.5" hidden="1"/>
    <row r="13595" ht="13.5" hidden="1"/>
    <row r="13596" ht="13.5" hidden="1"/>
    <row r="13597" ht="13.5" hidden="1"/>
    <row r="13598" ht="13.5" hidden="1"/>
    <row r="13599" ht="13.5" hidden="1"/>
    <row r="13600" ht="13.5" hidden="1"/>
    <row r="13601" ht="13.5" hidden="1"/>
    <row r="13602" ht="13.5" hidden="1"/>
    <row r="13603" ht="13.5" hidden="1"/>
    <row r="13604" ht="13.5" hidden="1"/>
    <row r="13605" ht="13.5" hidden="1"/>
    <row r="13606" ht="13.5" hidden="1"/>
    <row r="13607" ht="13.5" hidden="1"/>
    <row r="13608" ht="13.5" hidden="1"/>
    <row r="13609" ht="13.5" hidden="1"/>
    <row r="13610" ht="13.5" hidden="1"/>
    <row r="13611" ht="13.5" hidden="1"/>
    <row r="13612" ht="13.5" hidden="1"/>
    <row r="13613" ht="13.5" hidden="1"/>
    <row r="13614" ht="13.5" hidden="1"/>
    <row r="13615" ht="13.5" hidden="1"/>
    <row r="13616" ht="13.5" hidden="1"/>
    <row r="13617" ht="13.5" hidden="1"/>
    <row r="13618" ht="13.5" hidden="1"/>
    <row r="13619" ht="13.5" hidden="1"/>
    <row r="13620" ht="13.5" hidden="1"/>
    <row r="13621" ht="13.5" hidden="1"/>
    <row r="13622" ht="13.5" hidden="1"/>
    <row r="13623" ht="13.5" hidden="1"/>
    <row r="13624" ht="13.5" hidden="1"/>
    <row r="13625" ht="13.5" hidden="1"/>
    <row r="13626" ht="13.5" hidden="1"/>
    <row r="13627" ht="13.5" hidden="1"/>
    <row r="13628" ht="13.5" hidden="1"/>
    <row r="13629" ht="13.5" hidden="1"/>
    <row r="13630" ht="13.5" hidden="1"/>
    <row r="13631" ht="13.5" hidden="1"/>
    <row r="13632" ht="13.5" hidden="1"/>
    <row r="13633" ht="13.5" hidden="1"/>
    <row r="13634" ht="13.5" hidden="1"/>
    <row r="13635" ht="13.5" hidden="1"/>
    <row r="13636" ht="13.5" hidden="1"/>
    <row r="13637" ht="13.5" hidden="1"/>
    <row r="13638" ht="13.5" hidden="1"/>
    <row r="13639" ht="13.5" hidden="1"/>
    <row r="13640" ht="13.5" hidden="1"/>
    <row r="13641" ht="13.5" hidden="1"/>
    <row r="13642" ht="13.5" hidden="1"/>
    <row r="13643" ht="13.5" hidden="1"/>
    <row r="13644" ht="13.5" hidden="1"/>
    <row r="13645" ht="13.5" hidden="1"/>
    <row r="13646" ht="13.5" hidden="1"/>
    <row r="13647" ht="13.5" hidden="1"/>
    <row r="13648" ht="13.5" hidden="1"/>
    <row r="13649" ht="13.5" hidden="1"/>
    <row r="13650" ht="13.5" hidden="1"/>
    <row r="13651" ht="13.5" hidden="1"/>
    <row r="13652" ht="13.5" hidden="1"/>
    <row r="13653" ht="13.5" hidden="1"/>
    <row r="13654" ht="13.5" hidden="1"/>
    <row r="13655" ht="13.5" hidden="1"/>
    <row r="13656" ht="13.5" hidden="1"/>
    <row r="13657" ht="13.5" hidden="1"/>
    <row r="13658" ht="13.5" hidden="1"/>
    <row r="13659" ht="13.5" hidden="1"/>
    <row r="13660" ht="13.5" hidden="1"/>
    <row r="13661" ht="13.5" hidden="1"/>
    <row r="13662" ht="13.5" hidden="1"/>
    <row r="13663" ht="13.5" hidden="1"/>
    <row r="13664" ht="13.5" hidden="1"/>
    <row r="13665" ht="13.5" hidden="1"/>
    <row r="13666" ht="13.5" hidden="1"/>
    <row r="13667" ht="13.5" hidden="1"/>
    <row r="13668" ht="13.5" hidden="1"/>
    <row r="13669" ht="13.5" hidden="1"/>
    <row r="13670" ht="13.5" hidden="1"/>
    <row r="13671" ht="13.5" hidden="1"/>
    <row r="13672" ht="13.5" hidden="1"/>
    <row r="13673" ht="13.5" hidden="1"/>
    <row r="13674" ht="13.5" hidden="1"/>
    <row r="13675" ht="13.5" hidden="1"/>
    <row r="13676" ht="13.5" hidden="1"/>
    <row r="13677" ht="13.5" hidden="1"/>
    <row r="13678" ht="13.5" hidden="1"/>
    <row r="13679" ht="13.5" hidden="1"/>
    <row r="13680" ht="13.5" hidden="1"/>
    <row r="13681" ht="13.5" hidden="1"/>
    <row r="13682" ht="13.5" hidden="1"/>
    <row r="13683" ht="13.5" hidden="1"/>
    <row r="13684" ht="13.5" hidden="1"/>
    <row r="13685" ht="13.5" hidden="1"/>
    <row r="13686" ht="13.5" hidden="1"/>
    <row r="13687" ht="13.5" hidden="1"/>
    <row r="13688" ht="13.5" hidden="1"/>
    <row r="13689" ht="13.5" hidden="1"/>
    <row r="13690" ht="13.5" hidden="1"/>
    <row r="13691" ht="13.5" hidden="1"/>
    <row r="13692" ht="13.5" hidden="1"/>
    <row r="13693" ht="13.5" hidden="1"/>
    <row r="13694" ht="13.5" hidden="1"/>
    <row r="13695" ht="13.5" hidden="1"/>
    <row r="13696" ht="13.5" hidden="1"/>
    <row r="13697" ht="13.5" hidden="1"/>
    <row r="13698" ht="13.5" hidden="1"/>
    <row r="13699" ht="13.5" hidden="1"/>
    <row r="13700" ht="13.5" hidden="1"/>
    <row r="13701" ht="13.5" hidden="1"/>
    <row r="13702" ht="13.5" hidden="1"/>
    <row r="13703" ht="13.5" hidden="1"/>
    <row r="13704" ht="13.5" hidden="1"/>
    <row r="13705" ht="13.5" hidden="1"/>
    <row r="13706" ht="13.5" hidden="1"/>
    <row r="13707" ht="13.5" hidden="1"/>
    <row r="13708" ht="13.5" hidden="1"/>
    <row r="13709" ht="13.5" hidden="1"/>
    <row r="13710" ht="13.5" hidden="1"/>
    <row r="13711" ht="13.5" hidden="1"/>
    <row r="13712" ht="13.5" hidden="1"/>
    <row r="13713" ht="13.5" hidden="1"/>
    <row r="13714" ht="13.5" hidden="1"/>
    <row r="13715" ht="13.5" hidden="1"/>
    <row r="13716" ht="13.5" hidden="1"/>
    <row r="13717" ht="13.5" hidden="1"/>
    <row r="13718" ht="13.5" hidden="1"/>
    <row r="13719" ht="13.5" hidden="1"/>
    <row r="13720" ht="13.5" hidden="1"/>
    <row r="13721" ht="13.5" hidden="1"/>
    <row r="13722" ht="13.5" hidden="1"/>
    <row r="13723" ht="13.5" hidden="1"/>
    <row r="13724" ht="13.5" hidden="1"/>
    <row r="13725" ht="13.5" hidden="1"/>
    <row r="13726" ht="13.5" hidden="1"/>
    <row r="13727" ht="13.5" hidden="1"/>
    <row r="13728" ht="13.5" hidden="1"/>
    <row r="13729" ht="13.5" hidden="1"/>
    <row r="13730" ht="13.5" hidden="1"/>
    <row r="13731" ht="13.5" hidden="1"/>
    <row r="13732" ht="13.5" hidden="1"/>
    <row r="13733" ht="13.5" hidden="1"/>
    <row r="13734" ht="13.5" hidden="1"/>
    <row r="13735" ht="13.5" hidden="1"/>
    <row r="13736" ht="13.5" hidden="1"/>
    <row r="13737" ht="13.5" hidden="1"/>
    <row r="13738" ht="13.5" hidden="1"/>
    <row r="13739" ht="13.5" hidden="1"/>
    <row r="13740" ht="13.5" hidden="1"/>
    <row r="13741" ht="13.5" hidden="1"/>
    <row r="13742" ht="13.5" hidden="1"/>
    <row r="13743" ht="13.5" hidden="1"/>
    <row r="13744" ht="13.5" hidden="1"/>
    <row r="13745" ht="13.5" hidden="1"/>
    <row r="13746" ht="13.5" hidden="1"/>
    <row r="13747" ht="13.5" hidden="1"/>
    <row r="13748" ht="13.5" hidden="1"/>
    <row r="13749" ht="13.5" hidden="1"/>
    <row r="13750" ht="13.5" hidden="1"/>
    <row r="13751" ht="13.5" hidden="1"/>
    <row r="13752" ht="13.5" hidden="1"/>
    <row r="13753" ht="13.5" hidden="1"/>
    <row r="13754" ht="13.5" hidden="1"/>
    <row r="13755" ht="13.5" hidden="1"/>
    <row r="13756" ht="13.5" hidden="1"/>
    <row r="13757" ht="13.5" hidden="1"/>
    <row r="13758" ht="13.5" hidden="1"/>
    <row r="13759" ht="13.5" hidden="1"/>
    <row r="13760" ht="13.5" hidden="1"/>
    <row r="13761" ht="13.5" hidden="1"/>
    <row r="13762" ht="13.5" hidden="1"/>
    <row r="13763" ht="13.5" hidden="1"/>
    <row r="13764" ht="13.5" hidden="1"/>
    <row r="13765" ht="13.5" hidden="1"/>
    <row r="13766" ht="13.5" hidden="1"/>
    <row r="13767" ht="13.5" hidden="1"/>
    <row r="13768" ht="13.5" hidden="1"/>
    <row r="13769" ht="13.5" hidden="1"/>
    <row r="13770" ht="13.5" hidden="1"/>
    <row r="13771" ht="13.5" hidden="1"/>
    <row r="13772" ht="13.5" hidden="1"/>
    <row r="13773" ht="13.5" hidden="1"/>
    <row r="13774" ht="13.5" hidden="1"/>
    <row r="13775" ht="13.5" hidden="1"/>
    <row r="13776" ht="13.5" hidden="1"/>
    <row r="13777" ht="13.5" hidden="1"/>
    <row r="13778" ht="13.5" hidden="1"/>
    <row r="13779" ht="13.5" hidden="1"/>
    <row r="13780" ht="13.5" hidden="1"/>
    <row r="13781" ht="13.5" hidden="1"/>
    <row r="13782" ht="13.5" hidden="1"/>
    <row r="13783" ht="13.5" hidden="1"/>
    <row r="13784" ht="13.5" hidden="1"/>
    <row r="13785" ht="13.5" hidden="1"/>
    <row r="13786" ht="13.5" hidden="1"/>
    <row r="13787" ht="13.5" hidden="1"/>
    <row r="13788" ht="13.5" hidden="1"/>
    <row r="13789" ht="13.5" hidden="1"/>
    <row r="13790" ht="13.5" hidden="1"/>
    <row r="13791" ht="13.5" hidden="1"/>
    <row r="13792" ht="13.5" hidden="1"/>
    <row r="13793" ht="13.5" hidden="1"/>
    <row r="13794" ht="13.5" hidden="1"/>
    <row r="13795" ht="13.5" hidden="1"/>
    <row r="13796" ht="13.5" hidden="1"/>
    <row r="13797" ht="13.5" hidden="1"/>
    <row r="13798" ht="13.5" hidden="1"/>
    <row r="13799" ht="13.5" hidden="1"/>
    <row r="13800" ht="13.5" hidden="1"/>
    <row r="13801" ht="13.5" hidden="1"/>
    <row r="13802" ht="13.5" hidden="1"/>
    <row r="13803" ht="13.5" hidden="1"/>
    <row r="13804" ht="13.5" hidden="1"/>
    <row r="13805" ht="13.5" hidden="1"/>
    <row r="13806" ht="13.5" hidden="1"/>
    <row r="13807" ht="13.5" hidden="1"/>
    <row r="13808" ht="13.5" hidden="1"/>
    <row r="13809" ht="13.5" hidden="1"/>
    <row r="13810" ht="13.5" hidden="1"/>
    <row r="13811" ht="13.5" hidden="1"/>
    <row r="13812" ht="13.5" hidden="1"/>
    <row r="13813" ht="13.5" hidden="1"/>
    <row r="13814" ht="13.5" hidden="1"/>
    <row r="13815" ht="13.5" hidden="1"/>
    <row r="13816" ht="13.5" hidden="1"/>
    <row r="13817" ht="13.5" hidden="1"/>
    <row r="13818" ht="13.5" hidden="1"/>
    <row r="13819" ht="13.5" hidden="1"/>
    <row r="13820" ht="13.5" hidden="1"/>
    <row r="13821" ht="13.5" hidden="1"/>
    <row r="13822" ht="13.5" hidden="1"/>
    <row r="13823" ht="13.5" hidden="1"/>
    <row r="13824" ht="13.5" hidden="1"/>
    <row r="13825" ht="13.5" hidden="1"/>
    <row r="13826" ht="13.5" hidden="1"/>
    <row r="13827" ht="13.5" hidden="1"/>
    <row r="13828" ht="13.5" hidden="1"/>
    <row r="13829" ht="13.5" hidden="1"/>
    <row r="13830" ht="13.5" hidden="1"/>
    <row r="13831" ht="13.5" hidden="1"/>
    <row r="13832" ht="13.5" hidden="1"/>
    <row r="13833" ht="13.5" hidden="1"/>
    <row r="13834" ht="13.5" hidden="1"/>
    <row r="13835" ht="13.5" hidden="1"/>
    <row r="13836" ht="13.5" hidden="1"/>
    <row r="13837" ht="13.5" hidden="1"/>
    <row r="13838" ht="13.5" hidden="1"/>
    <row r="13839" ht="13.5" hidden="1"/>
    <row r="13840" ht="13.5" hidden="1"/>
    <row r="13841" ht="13.5" hidden="1"/>
    <row r="13842" ht="13.5" hidden="1"/>
    <row r="13843" ht="13.5" hidden="1"/>
    <row r="13844" ht="13.5" hidden="1"/>
    <row r="13845" ht="13.5" hidden="1"/>
    <row r="13846" ht="13.5" hidden="1"/>
    <row r="13847" ht="13.5" hidden="1"/>
    <row r="13848" ht="13.5" hidden="1"/>
    <row r="13849" ht="13.5" hidden="1"/>
    <row r="13850" ht="13.5" hidden="1"/>
    <row r="13851" ht="13.5" hidden="1"/>
    <row r="13852" ht="13.5" hidden="1"/>
    <row r="13853" ht="13.5" hidden="1"/>
    <row r="13854" ht="13.5" hidden="1"/>
    <row r="13855" ht="13.5" hidden="1"/>
    <row r="13856" ht="13.5" hidden="1"/>
    <row r="13857" ht="13.5" hidden="1"/>
    <row r="13858" ht="13.5" hidden="1"/>
    <row r="13859" ht="13.5" hidden="1"/>
    <row r="13860" ht="13.5" hidden="1"/>
    <row r="13861" ht="13.5" hidden="1"/>
    <row r="13862" ht="13.5" hidden="1"/>
    <row r="13863" ht="13.5" hidden="1"/>
    <row r="13864" ht="13.5" hidden="1"/>
    <row r="13865" ht="13.5" hidden="1"/>
    <row r="13866" ht="13.5" hidden="1"/>
    <row r="13867" ht="13.5" hidden="1"/>
    <row r="13868" ht="13.5" hidden="1"/>
    <row r="13869" ht="13.5" hidden="1"/>
    <row r="13870" ht="13.5" hidden="1"/>
    <row r="13871" ht="13.5" hidden="1"/>
    <row r="13872" ht="13.5" hidden="1"/>
    <row r="13873" ht="13.5" hidden="1"/>
    <row r="13874" ht="13.5" hidden="1"/>
    <row r="13875" ht="13.5" hidden="1"/>
    <row r="13876" ht="13.5" hidden="1"/>
    <row r="13877" ht="13.5" hidden="1"/>
    <row r="13878" ht="13.5" hidden="1"/>
    <row r="13879" ht="13.5" hidden="1"/>
    <row r="13880" ht="13.5" hidden="1"/>
    <row r="13881" ht="13.5" hidden="1"/>
    <row r="13882" ht="13.5" hidden="1"/>
    <row r="13883" ht="13.5" hidden="1"/>
    <row r="13884" ht="13.5" hidden="1"/>
    <row r="13885" ht="13.5" hidden="1"/>
    <row r="13886" ht="13.5" hidden="1"/>
    <row r="13887" ht="13.5" hidden="1"/>
    <row r="13888" ht="13.5" hidden="1"/>
    <row r="13889" ht="13.5" hidden="1"/>
    <row r="13890" ht="13.5" hidden="1"/>
    <row r="13891" ht="13.5" hidden="1"/>
    <row r="13892" ht="13.5" hidden="1"/>
    <row r="13893" ht="13.5" hidden="1"/>
    <row r="13894" ht="13.5" hidden="1"/>
    <row r="13895" ht="13.5" hidden="1"/>
    <row r="13896" ht="13.5" hidden="1"/>
    <row r="13897" ht="13.5" hidden="1"/>
    <row r="13898" ht="13.5" hidden="1"/>
    <row r="13899" ht="13.5" hidden="1"/>
    <row r="13900" ht="13.5" hidden="1"/>
    <row r="13901" ht="13.5" hidden="1"/>
    <row r="13902" ht="13.5" hidden="1"/>
    <row r="13903" ht="13.5" hidden="1"/>
    <row r="13904" ht="13.5" hidden="1"/>
    <row r="13905" ht="13.5" hidden="1"/>
    <row r="13906" ht="13.5" hidden="1"/>
    <row r="13907" ht="13.5" hidden="1"/>
    <row r="13908" ht="13.5" hidden="1"/>
    <row r="13909" ht="13.5" hidden="1"/>
    <row r="13910" ht="13.5" hidden="1"/>
    <row r="13911" ht="13.5" hidden="1"/>
    <row r="13912" ht="13.5" hidden="1"/>
    <row r="13913" ht="13.5" hidden="1"/>
    <row r="13914" ht="13.5" hidden="1"/>
    <row r="13915" ht="13.5" hidden="1"/>
    <row r="13916" ht="13.5" hidden="1"/>
    <row r="13917" ht="13.5" hidden="1"/>
    <row r="13918" ht="13.5" hidden="1"/>
    <row r="13919" ht="13.5" hidden="1"/>
    <row r="13920" ht="13.5" hidden="1"/>
    <row r="13921" ht="13.5" hidden="1"/>
    <row r="13922" ht="13.5" hidden="1"/>
    <row r="13923" ht="13.5" hidden="1"/>
    <row r="13924" ht="13.5" hidden="1"/>
    <row r="13925" ht="13.5" hidden="1"/>
    <row r="13926" ht="13.5" hidden="1"/>
    <row r="13927" ht="13.5" hidden="1"/>
    <row r="13928" ht="13.5" hidden="1"/>
    <row r="13929" ht="13.5" hidden="1"/>
    <row r="13930" ht="13.5" hidden="1"/>
    <row r="13931" ht="13.5" hidden="1"/>
    <row r="13932" ht="13.5" hidden="1"/>
    <row r="13933" ht="13.5" hidden="1"/>
    <row r="13934" ht="13.5" hidden="1"/>
    <row r="13935" ht="13.5" hidden="1"/>
    <row r="13936" ht="13.5" hidden="1"/>
    <row r="13937" ht="13.5" hidden="1"/>
    <row r="13938" ht="13.5" hidden="1"/>
    <row r="13939" ht="13.5" hidden="1"/>
    <row r="13940" ht="13.5" hidden="1"/>
    <row r="13941" ht="13.5" hidden="1"/>
    <row r="13942" ht="13.5" hidden="1"/>
    <row r="13943" ht="13.5" hidden="1"/>
    <row r="13944" ht="13.5" hidden="1"/>
    <row r="13945" ht="13.5" hidden="1"/>
    <row r="13946" ht="13.5" hidden="1"/>
    <row r="13947" ht="13.5" hidden="1"/>
    <row r="13948" ht="13.5" hidden="1"/>
    <row r="13949" ht="13.5" hidden="1"/>
    <row r="13950" ht="13.5" hidden="1"/>
    <row r="13951" ht="13.5" hidden="1"/>
    <row r="13952" ht="13.5" hidden="1"/>
    <row r="13953" ht="13.5" hidden="1"/>
    <row r="13954" ht="13.5" hidden="1"/>
    <row r="13955" ht="13.5" hidden="1"/>
    <row r="13956" ht="13.5" hidden="1"/>
    <row r="13957" ht="13.5" hidden="1"/>
    <row r="13958" ht="13.5" hidden="1"/>
    <row r="13959" ht="13.5" hidden="1"/>
    <row r="13960" ht="13.5" hidden="1"/>
    <row r="13961" ht="13.5" hidden="1"/>
    <row r="13962" ht="13.5" hidden="1"/>
    <row r="13963" ht="13.5" hidden="1"/>
    <row r="13964" ht="13.5" hidden="1"/>
    <row r="13965" ht="13.5" hidden="1"/>
    <row r="13966" ht="13.5" hidden="1"/>
    <row r="13967" ht="13.5" hidden="1"/>
    <row r="13968" ht="13.5" hidden="1"/>
    <row r="13969" ht="13.5" hidden="1"/>
    <row r="13970" ht="13.5" hidden="1"/>
    <row r="13971" ht="13.5" hidden="1"/>
    <row r="13972" ht="13.5" hidden="1"/>
    <row r="13973" ht="13.5" hidden="1"/>
    <row r="13974" ht="13.5" hidden="1"/>
    <row r="13975" ht="13.5" hidden="1"/>
    <row r="13976" ht="13.5" hidden="1"/>
    <row r="13977" ht="13.5" hidden="1"/>
    <row r="13978" ht="13.5" hidden="1"/>
    <row r="13979" ht="13.5" hidden="1"/>
    <row r="13980" ht="13.5" hidden="1"/>
    <row r="13981" ht="13.5" hidden="1"/>
    <row r="13982" ht="13.5" hidden="1"/>
    <row r="13983" ht="13.5" hidden="1"/>
    <row r="13984" ht="13.5" hidden="1"/>
    <row r="13985" ht="13.5" hidden="1"/>
    <row r="13986" ht="13.5" hidden="1"/>
    <row r="13987" ht="13.5" hidden="1"/>
    <row r="13988" ht="13.5" hidden="1"/>
    <row r="13989" ht="13.5" hidden="1"/>
    <row r="13990" ht="13.5" hidden="1"/>
    <row r="13991" ht="13.5" hidden="1"/>
    <row r="13992" ht="13.5" hidden="1"/>
    <row r="13993" ht="13.5" hidden="1"/>
    <row r="13994" ht="13.5" hidden="1"/>
    <row r="13995" ht="13.5" hidden="1"/>
    <row r="13996" ht="13.5" hidden="1"/>
    <row r="13997" ht="13.5" hidden="1"/>
    <row r="13998" ht="13.5" hidden="1"/>
    <row r="13999" ht="13.5" hidden="1"/>
    <row r="14000" ht="13.5" hidden="1"/>
    <row r="14001" ht="13.5" hidden="1"/>
    <row r="14002" ht="13.5" hidden="1"/>
    <row r="14003" ht="13.5" hidden="1"/>
    <row r="14004" ht="13.5" hidden="1"/>
    <row r="14005" ht="13.5" hidden="1"/>
    <row r="14006" ht="13.5" hidden="1"/>
    <row r="14007" ht="13.5" hidden="1"/>
    <row r="14008" ht="13.5" hidden="1"/>
    <row r="14009" ht="13.5" hidden="1"/>
    <row r="14010" ht="13.5" hidden="1"/>
    <row r="14011" ht="13.5" hidden="1"/>
    <row r="14012" ht="13.5" hidden="1"/>
    <row r="14013" ht="13.5" hidden="1"/>
    <row r="14014" ht="13.5" hidden="1"/>
    <row r="14015" ht="13.5" hidden="1"/>
    <row r="14016" ht="13.5" hidden="1"/>
    <row r="14017" ht="13.5" hidden="1"/>
    <row r="14018" ht="13.5" hidden="1"/>
    <row r="14019" ht="13.5" hidden="1"/>
    <row r="14020" ht="13.5" hidden="1"/>
    <row r="14021" ht="13.5" hidden="1"/>
    <row r="14022" ht="13.5" hidden="1"/>
    <row r="14023" ht="13.5" hidden="1"/>
    <row r="14024" ht="13.5" hidden="1"/>
    <row r="14025" ht="13.5" hidden="1"/>
    <row r="14026" ht="13.5" hidden="1"/>
    <row r="14027" ht="13.5" hidden="1"/>
    <row r="14028" ht="13.5" hidden="1"/>
    <row r="14029" ht="13.5" hidden="1"/>
    <row r="14030" ht="13.5" hidden="1"/>
    <row r="14031" ht="13.5" hidden="1"/>
    <row r="14032" ht="13.5" hidden="1"/>
    <row r="14033" ht="13.5" hidden="1"/>
    <row r="14034" ht="13.5" hidden="1"/>
    <row r="14035" ht="13.5" hidden="1"/>
    <row r="14036" ht="13.5" hidden="1"/>
    <row r="14037" ht="13.5" hidden="1"/>
    <row r="14038" ht="13.5" hidden="1"/>
    <row r="14039" ht="13.5" hidden="1"/>
    <row r="14040" ht="13.5" hidden="1"/>
    <row r="14041" ht="13.5" hidden="1"/>
    <row r="14042" ht="13.5" hidden="1"/>
    <row r="14043" ht="13.5" hidden="1"/>
    <row r="14044" ht="13.5" hidden="1"/>
    <row r="14045" ht="13.5" hidden="1"/>
    <row r="14046" ht="13.5" hidden="1"/>
    <row r="14047" ht="13.5" hidden="1"/>
    <row r="14048" ht="13.5" hidden="1"/>
    <row r="14049" ht="13.5" hidden="1"/>
    <row r="14050" ht="13.5" hidden="1"/>
    <row r="14051" ht="13.5" hidden="1"/>
    <row r="14052" ht="13.5" hidden="1"/>
    <row r="14053" ht="13.5" hidden="1"/>
    <row r="14054" ht="13.5" hidden="1"/>
    <row r="14055" ht="13.5" hidden="1"/>
    <row r="14056" ht="13.5" hidden="1"/>
    <row r="14057" ht="13.5" hidden="1"/>
    <row r="14058" ht="13.5" hidden="1"/>
    <row r="14059" ht="13.5" hidden="1"/>
    <row r="14060" ht="13.5" hidden="1"/>
    <row r="14061" ht="13.5" hidden="1"/>
    <row r="14062" ht="13.5" hidden="1"/>
    <row r="14063" ht="13.5" hidden="1"/>
    <row r="14064" ht="13.5" hidden="1"/>
    <row r="14065" ht="13.5" hidden="1"/>
    <row r="14066" ht="13.5" hidden="1"/>
    <row r="14067" ht="13.5" hidden="1"/>
    <row r="14068" ht="13.5" hidden="1"/>
    <row r="14069" ht="13.5" hidden="1"/>
    <row r="14070" ht="13.5" hidden="1"/>
    <row r="14071" ht="13.5" hidden="1"/>
    <row r="14072" ht="13.5" hidden="1"/>
    <row r="14073" ht="13.5" hidden="1"/>
    <row r="14074" ht="13.5" hidden="1"/>
    <row r="14075" ht="13.5" hidden="1"/>
    <row r="14076" ht="13.5" hidden="1"/>
    <row r="14077" ht="13.5" hidden="1"/>
    <row r="14078" ht="13.5" hidden="1"/>
    <row r="14079" ht="13.5" hidden="1"/>
    <row r="14080" ht="13.5" hidden="1"/>
    <row r="14081" ht="13.5" hidden="1"/>
    <row r="14082" ht="13.5" hidden="1"/>
    <row r="14083" ht="13.5" hidden="1"/>
    <row r="14084" ht="13.5" hidden="1"/>
    <row r="14085" ht="13.5" hidden="1"/>
    <row r="14086" ht="13.5" hidden="1"/>
    <row r="14087" ht="13.5" hidden="1"/>
    <row r="14088" ht="13.5" hidden="1"/>
    <row r="14089" ht="13.5" hidden="1"/>
    <row r="14090" ht="13.5" hidden="1"/>
    <row r="14091" ht="13.5" hidden="1"/>
    <row r="14092" ht="13.5" hidden="1"/>
    <row r="14093" ht="13.5" hidden="1"/>
    <row r="14094" ht="13.5" hidden="1"/>
    <row r="14095" ht="13.5" hidden="1"/>
    <row r="14096" ht="13.5" hidden="1"/>
    <row r="14097" ht="13.5" hidden="1"/>
    <row r="14098" ht="13.5" hidden="1"/>
    <row r="14099" ht="13.5" hidden="1"/>
    <row r="14100" ht="13.5" hidden="1"/>
    <row r="14101" ht="13.5" hidden="1"/>
    <row r="14102" ht="13.5" hidden="1"/>
    <row r="14103" ht="13.5" hidden="1"/>
    <row r="14104" ht="13.5" hidden="1"/>
    <row r="14105" ht="13.5" hidden="1"/>
    <row r="14106" ht="13.5" hidden="1"/>
    <row r="14107" ht="13.5" hidden="1"/>
    <row r="14108" ht="13.5" hidden="1"/>
    <row r="14109" ht="13.5" hidden="1"/>
    <row r="14110" ht="13.5" hidden="1"/>
    <row r="14111" ht="13.5" hidden="1"/>
    <row r="14112" ht="13.5" hidden="1"/>
    <row r="14113" ht="13.5" hidden="1"/>
    <row r="14114" ht="13.5" hidden="1"/>
    <row r="14115" ht="13.5" hidden="1"/>
    <row r="14116" ht="13.5" hidden="1"/>
    <row r="14117" ht="13.5" hidden="1"/>
    <row r="14118" ht="13.5" hidden="1"/>
    <row r="14119" ht="13.5" hidden="1"/>
    <row r="14120" ht="13.5" hidden="1"/>
    <row r="14121" ht="13.5" hidden="1"/>
    <row r="14122" ht="13.5" hidden="1"/>
    <row r="14123" ht="13.5" hidden="1"/>
    <row r="14124" ht="13.5" hidden="1"/>
    <row r="14125" ht="13.5" hidden="1"/>
    <row r="14126" ht="13.5" hidden="1"/>
    <row r="14127" ht="13.5" hidden="1"/>
    <row r="14128" ht="13.5" hidden="1"/>
    <row r="14129" ht="13.5" hidden="1"/>
    <row r="14130" ht="13.5" hidden="1"/>
    <row r="14131" ht="13.5" hidden="1"/>
    <row r="14132" ht="13.5" hidden="1"/>
    <row r="14133" ht="13.5" hidden="1"/>
    <row r="14134" ht="13.5" hidden="1"/>
    <row r="14135" ht="13.5" hidden="1"/>
    <row r="14136" ht="13.5" hidden="1"/>
    <row r="14137" ht="13.5" hidden="1"/>
    <row r="14138" ht="13.5" hidden="1"/>
    <row r="14139" ht="13.5" hidden="1"/>
    <row r="14140" ht="13.5" hidden="1"/>
    <row r="14141" ht="13.5" hidden="1"/>
    <row r="14142" ht="13.5" hidden="1"/>
    <row r="14143" ht="13.5" hidden="1"/>
    <row r="14144" ht="13.5" hidden="1"/>
    <row r="14145" ht="13.5" hidden="1"/>
    <row r="14146" ht="13.5" hidden="1"/>
    <row r="14147" ht="13.5" hidden="1"/>
    <row r="14148" ht="13.5" hidden="1"/>
    <row r="14149" ht="13.5" hidden="1"/>
    <row r="14150" ht="13.5" hidden="1"/>
    <row r="14151" ht="13.5" hidden="1"/>
    <row r="14152" ht="13.5" hidden="1"/>
    <row r="14153" ht="13.5" hidden="1"/>
    <row r="14154" ht="13.5" hidden="1"/>
    <row r="14155" ht="13.5" hidden="1"/>
    <row r="14156" ht="13.5" hidden="1"/>
    <row r="14157" ht="13.5" hidden="1"/>
    <row r="14158" ht="13.5" hidden="1"/>
    <row r="14159" ht="13.5" hidden="1"/>
    <row r="14160" ht="13.5" hidden="1"/>
    <row r="14161" ht="13.5" hidden="1"/>
    <row r="14162" ht="13.5" hidden="1"/>
    <row r="14163" ht="13.5" hidden="1"/>
    <row r="14164" ht="13.5" hidden="1"/>
    <row r="14165" ht="13.5" hidden="1"/>
    <row r="14166" ht="13.5" hidden="1"/>
    <row r="14167" ht="13.5" hidden="1"/>
    <row r="14168" ht="13.5" hidden="1"/>
    <row r="14169" ht="13.5" hidden="1"/>
    <row r="14170" ht="13.5" hidden="1"/>
    <row r="14171" ht="13.5" hidden="1"/>
    <row r="14172" ht="13.5" hidden="1"/>
    <row r="14173" ht="13.5" hidden="1"/>
    <row r="14174" ht="13.5" hidden="1"/>
    <row r="14175" ht="13.5" hidden="1"/>
    <row r="14176" ht="13.5" hidden="1"/>
    <row r="14177" ht="13.5" hidden="1"/>
    <row r="14178" ht="13.5" hidden="1"/>
    <row r="14179" ht="13.5" hidden="1"/>
    <row r="14180" ht="13.5" hidden="1"/>
    <row r="14181" ht="13.5" hidden="1"/>
    <row r="14182" ht="13.5" hidden="1"/>
    <row r="14183" ht="13.5" hidden="1"/>
    <row r="14184" ht="13.5" hidden="1"/>
    <row r="14185" ht="13.5" hidden="1"/>
    <row r="14186" ht="13.5" hidden="1"/>
    <row r="14187" ht="13.5" hidden="1"/>
    <row r="14188" ht="13.5" hidden="1"/>
    <row r="14189" ht="13.5" hidden="1"/>
    <row r="14190" ht="13.5" hidden="1"/>
    <row r="14191" ht="13.5" hidden="1"/>
    <row r="14192" ht="13.5" hidden="1"/>
    <row r="14193" ht="13.5" hidden="1"/>
    <row r="14194" ht="13.5" hidden="1"/>
    <row r="14195" ht="13.5" hidden="1"/>
    <row r="14196" ht="13.5" hidden="1"/>
    <row r="14197" ht="13.5" hidden="1"/>
    <row r="14198" ht="13.5" hidden="1"/>
    <row r="14199" ht="13.5" hidden="1"/>
    <row r="14200" ht="13.5" hidden="1"/>
    <row r="14201" ht="13.5" hidden="1"/>
    <row r="14202" ht="13.5" hidden="1"/>
    <row r="14203" ht="13.5" hidden="1"/>
    <row r="14204" ht="13.5" hidden="1"/>
    <row r="14205" ht="13.5" hidden="1"/>
    <row r="14206" ht="13.5" hidden="1"/>
    <row r="14207" ht="13.5" hidden="1"/>
    <row r="14208" ht="13.5" hidden="1"/>
    <row r="14209" ht="13.5" hidden="1"/>
    <row r="14210" ht="13.5" hidden="1"/>
    <row r="14211" ht="13.5" hidden="1"/>
    <row r="14212" ht="13.5" hidden="1"/>
    <row r="14213" ht="13.5" hidden="1"/>
    <row r="14214" ht="13.5" hidden="1"/>
    <row r="14215" ht="13.5" hidden="1"/>
    <row r="14216" ht="13.5" hidden="1"/>
    <row r="14217" ht="13.5" hidden="1"/>
    <row r="14218" ht="13.5" hidden="1"/>
    <row r="14219" ht="13.5" hidden="1"/>
    <row r="14220" ht="13.5" hidden="1"/>
    <row r="14221" ht="13.5" hidden="1"/>
    <row r="14222" ht="13.5" hidden="1"/>
    <row r="14223" ht="13.5" hidden="1"/>
    <row r="14224" ht="13.5" hidden="1"/>
    <row r="14225" ht="13.5" hidden="1"/>
    <row r="14226" ht="13.5" hidden="1"/>
    <row r="14227" ht="13.5" hidden="1"/>
    <row r="14228" ht="13.5" hidden="1"/>
    <row r="14229" ht="13.5" hidden="1"/>
    <row r="14230" ht="13.5" hidden="1"/>
    <row r="14231" ht="13.5" hidden="1"/>
    <row r="14232" ht="13.5" hidden="1"/>
    <row r="14233" ht="13.5" hidden="1"/>
    <row r="14234" ht="13.5" hidden="1"/>
    <row r="14235" ht="13.5" hidden="1"/>
    <row r="14236" ht="13.5" hidden="1"/>
    <row r="14237" ht="13.5" hidden="1"/>
    <row r="14238" ht="13.5" hidden="1"/>
    <row r="14239" ht="13.5" hidden="1"/>
    <row r="14240" ht="13.5" hidden="1"/>
    <row r="14241" ht="13.5" hidden="1"/>
    <row r="14242" ht="13.5" hidden="1"/>
    <row r="14243" ht="13.5" hidden="1"/>
    <row r="14244" ht="13.5" hidden="1"/>
    <row r="14245" ht="13.5" hidden="1"/>
    <row r="14246" ht="13.5" hidden="1"/>
    <row r="14247" ht="13.5" hidden="1"/>
    <row r="14248" ht="13.5" hidden="1"/>
    <row r="14249" ht="13.5" hidden="1"/>
    <row r="14250" ht="13.5" hidden="1"/>
    <row r="14251" ht="13.5" hidden="1"/>
    <row r="14252" ht="13.5" hidden="1"/>
    <row r="14253" ht="13.5" hidden="1"/>
    <row r="14254" ht="13.5" hidden="1"/>
    <row r="14255" ht="13.5" hidden="1"/>
    <row r="14256" ht="13.5" hidden="1"/>
    <row r="14257" ht="13.5" hidden="1"/>
    <row r="14258" ht="13.5" hidden="1"/>
    <row r="14259" ht="13.5" hidden="1"/>
    <row r="14260" ht="13.5" hidden="1"/>
    <row r="14261" ht="13.5" hidden="1"/>
    <row r="14262" ht="13.5" hidden="1"/>
    <row r="14263" ht="13.5" hidden="1"/>
    <row r="14264" ht="13.5" hidden="1"/>
    <row r="14265" ht="13.5" hidden="1"/>
    <row r="14266" ht="13.5" hidden="1"/>
    <row r="14267" ht="13.5" hidden="1"/>
    <row r="14268" ht="13.5" hidden="1"/>
    <row r="14269" ht="13.5" hidden="1"/>
    <row r="14270" ht="13.5" hidden="1"/>
    <row r="14271" ht="13.5" hidden="1"/>
    <row r="14272" ht="13.5" hidden="1"/>
    <row r="14273" ht="13.5" hidden="1"/>
    <row r="14274" ht="13.5" hidden="1"/>
    <row r="14275" ht="13.5" hidden="1"/>
    <row r="14276" ht="13.5" hidden="1"/>
    <row r="14277" ht="13.5" hidden="1"/>
    <row r="14278" ht="13.5" hidden="1"/>
    <row r="14279" ht="13.5" hidden="1"/>
    <row r="14280" ht="13.5" hidden="1"/>
    <row r="14281" ht="13.5" hidden="1"/>
    <row r="14282" ht="13.5" hidden="1"/>
    <row r="14283" ht="13.5" hidden="1"/>
    <row r="14284" ht="13.5" hidden="1"/>
    <row r="14285" ht="13.5" hidden="1"/>
    <row r="14286" ht="13.5" hidden="1"/>
    <row r="14287" ht="13.5" hidden="1"/>
    <row r="14288" ht="13.5" hidden="1"/>
    <row r="14289" ht="13.5" hidden="1"/>
    <row r="14290" ht="13.5" hidden="1"/>
    <row r="14291" ht="13.5" hidden="1"/>
    <row r="14292" ht="13.5" hidden="1"/>
    <row r="14293" ht="13.5" hidden="1"/>
    <row r="14294" ht="13.5" hidden="1"/>
    <row r="14295" ht="13.5" hidden="1"/>
    <row r="14296" ht="13.5" hidden="1"/>
    <row r="14297" ht="13.5" hidden="1"/>
    <row r="14298" ht="13.5" hidden="1"/>
    <row r="14299" ht="13.5" hidden="1"/>
    <row r="14300" ht="13.5" hidden="1"/>
    <row r="14301" ht="13.5" hidden="1"/>
    <row r="14302" ht="13.5" hidden="1"/>
    <row r="14303" ht="13.5" hidden="1"/>
    <row r="14304" ht="13.5" hidden="1"/>
    <row r="14305" ht="13.5" hidden="1"/>
    <row r="14306" ht="13.5" hidden="1"/>
    <row r="14307" ht="13.5" hidden="1"/>
    <row r="14308" ht="13.5" hidden="1"/>
    <row r="14309" ht="13.5" hidden="1"/>
    <row r="14310" ht="13.5" hidden="1"/>
    <row r="14311" ht="13.5" hidden="1"/>
    <row r="14312" ht="13.5" hidden="1"/>
    <row r="14313" ht="13.5" hidden="1"/>
    <row r="14314" ht="13.5" hidden="1"/>
    <row r="14315" ht="13.5" hidden="1"/>
    <row r="14316" ht="13.5" hidden="1"/>
    <row r="14317" ht="13.5" hidden="1"/>
    <row r="14318" ht="13.5" hidden="1"/>
    <row r="14319" ht="13.5" hidden="1"/>
    <row r="14320" ht="13.5" hidden="1"/>
    <row r="14321" ht="13.5" hidden="1"/>
    <row r="14322" ht="13.5" hidden="1"/>
    <row r="14323" ht="13.5" hidden="1"/>
    <row r="14324" ht="13.5" hidden="1"/>
    <row r="14325" ht="13.5" hidden="1"/>
    <row r="14326" ht="13.5" hidden="1"/>
    <row r="14327" ht="13.5" hidden="1"/>
    <row r="14328" ht="13.5" hidden="1"/>
    <row r="14329" ht="13.5" hidden="1"/>
    <row r="14330" ht="13.5" hidden="1"/>
    <row r="14331" ht="13.5" hidden="1"/>
    <row r="14332" ht="13.5" hidden="1"/>
    <row r="14333" ht="13.5" hidden="1"/>
    <row r="14334" ht="13.5" hidden="1"/>
    <row r="14335" ht="13.5" hidden="1"/>
    <row r="14336" ht="13.5" hidden="1"/>
    <row r="14337" ht="13.5" hidden="1"/>
    <row r="14338" ht="13.5" hidden="1"/>
    <row r="14339" ht="13.5" hidden="1"/>
    <row r="14340" ht="13.5" hidden="1"/>
    <row r="14341" ht="13.5" hidden="1"/>
    <row r="14342" ht="13.5" hidden="1"/>
    <row r="14343" ht="13.5" hidden="1"/>
    <row r="14344" ht="13.5" hidden="1"/>
    <row r="14345" ht="13.5" hidden="1"/>
    <row r="14346" ht="13.5" hidden="1"/>
    <row r="14347" ht="13.5" hidden="1"/>
    <row r="14348" ht="13.5" hidden="1"/>
    <row r="14349" ht="13.5" hidden="1"/>
    <row r="14350" ht="13.5" hidden="1"/>
    <row r="14351" ht="13.5" hidden="1"/>
    <row r="14352" ht="13.5" hidden="1"/>
    <row r="14353" ht="13.5" hidden="1"/>
    <row r="14354" ht="13.5" hidden="1"/>
    <row r="14355" ht="13.5" hidden="1"/>
    <row r="14356" ht="13.5" hidden="1"/>
    <row r="14357" ht="13.5" hidden="1"/>
    <row r="14358" ht="13.5" hidden="1"/>
    <row r="14359" ht="13.5" hidden="1"/>
    <row r="14360" ht="13.5" hidden="1"/>
    <row r="14361" ht="13.5" hidden="1"/>
    <row r="14362" ht="13.5" hidden="1"/>
    <row r="14363" ht="13.5" hidden="1"/>
    <row r="14364" ht="13.5" hidden="1"/>
    <row r="14365" ht="13.5" hidden="1"/>
    <row r="14366" ht="13.5" hidden="1"/>
    <row r="14367" ht="13.5" hidden="1"/>
    <row r="14368" ht="13.5" hidden="1"/>
    <row r="14369" ht="13.5" hidden="1"/>
    <row r="14370" ht="13.5" hidden="1"/>
    <row r="14371" ht="13.5" hidden="1"/>
    <row r="14372" ht="13.5" hidden="1"/>
    <row r="14373" ht="13.5" hidden="1"/>
    <row r="14374" ht="13.5" hidden="1"/>
    <row r="14375" ht="13.5" hidden="1"/>
    <row r="14376" ht="13.5" hidden="1"/>
    <row r="14377" ht="13.5" hidden="1"/>
    <row r="14378" ht="13.5" hidden="1"/>
    <row r="14379" ht="13.5" hidden="1"/>
    <row r="14380" ht="13.5" hidden="1"/>
    <row r="14381" ht="13.5" hidden="1"/>
    <row r="14382" ht="13.5" hidden="1"/>
    <row r="14383" ht="13.5" hidden="1"/>
    <row r="14384" ht="13.5" hidden="1"/>
    <row r="14385" ht="13.5" hidden="1"/>
    <row r="14386" ht="13.5" hidden="1"/>
    <row r="14387" ht="13.5" hidden="1"/>
    <row r="14388" ht="13.5" hidden="1"/>
    <row r="14389" ht="13.5" hidden="1"/>
    <row r="14390" ht="13.5" hidden="1"/>
    <row r="14391" ht="13.5" hidden="1"/>
    <row r="14392" ht="13.5" hidden="1"/>
    <row r="14393" ht="13.5" hidden="1"/>
    <row r="14394" ht="13.5" hidden="1"/>
    <row r="14395" ht="13.5" hidden="1"/>
    <row r="14396" ht="13.5" hidden="1"/>
    <row r="14397" ht="13.5" hidden="1"/>
    <row r="14398" ht="13.5" hidden="1"/>
    <row r="14399" ht="13.5" hidden="1"/>
    <row r="14400" ht="13.5" hidden="1"/>
    <row r="14401" ht="13.5" hidden="1"/>
    <row r="14402" ht="13.5" hidden="1"/>
    <row r="14403" ht="13.5" hidden="1"/>
    <row r="14404" ht="13.5" hidden="1"/>
    <row r="14405" ht="13.5" hidden="1"/>
    <row r="14406" ht="13.5" hidden="1"/>
    <row r="14407" ht="13.5" hidden="1"/>
    <row r="14408" ht="13.5" hidden="1"/>
    <row r="14409" ht="13.5" hidden="1"/>
    <row r="14410" ht="13.5" hidden="1"/>
    <row r="14411" ht="13.5" hidden="1"/>
    <row r="14412" ht="13.5" hidden="1"/>
    <row r="14413" ht="13.5" hidden="1"/>
    <row r="14414" ht="13.5" hidden="1"/>
    <row r="14415" ht="13.5" hidden="1"/>
    <row r="14416" ht="13.5" hidden="1"/>
    <row r="14417" ht="13.5" hidden="1"/>
    <row r="14418" ht="13.5" hidden="1"/>
    <row r="14419" ht="13.5" hidden="1"/>
    <row r="14420" ht="13.5" hidden="1"/>
    <row r="14421" ht="13.5" hidden="1"/>
    <row r="14422" ht="13.5" hidden="1"/>
    <row r="14423" ht="13.5" hidden="1"/>
    <row r="14424" ht="13.5" hidden="1"/>
    <row r="14425" ht="13.5" hidden="1"/>
    <row r="14426" ht="13.5" hidden="1"/>
    <row r="14427" ht="13.5" hidden="1"/>
    <row r="14428" ht="13.5" hidden="1"/>
    <row r="14429" ht="13.5" hidden="1"/>
    <row r="14430" ht="13.5" hidden="1"/>
    <row r="14431" ht="13.5" hidden="1"/>
    <row r="14432" ht="13.5" hidden="1"/>
    <row r="14433" ht="13.5" hidden="1"/>
    <row r="14434" ht="13.5" hidden="1"/>
    <row r="14435" ht="13.5" hidden="1"/>
    <row r="14436" ht="13.5" hidden="1"/>
    <row r="14437" ht="13.5" hidden="1"/>
    <row r="14438" ht="13.5" hidden="1"/>
    <row r="14439" ht="13.5" hidden="1"/>
    <row r="14440" ht="13.5" hidden="1"/>
    <row r="14441" ht="13.5" hidden="1"/>
    <row r="14442" ht="13.5" hidden="1"/>
    <row r="14443" ht="13.5" hidden="1"/>
    <row r="14444" ht="13.5" hidden="1"/>
    <row r="14445" ht="13.5" hidden="1"/>
    <row r="14446" ht="13.5" hidden="1"/>
    <row r="14447" ht="13.5" hidden="1"/>
    <row r="14448" ht="13.5" hidden="1"/>
    <row r="14449" ht="13.5" hidden="1"/>
    <row r="14450" ht="13.5" hidden="1"/>
    <row r="14451" ht="13.5" hidden="1"/>
    <row r="14452" ht="13.5" hidden="1"/>
    <row r="14453" ht="13.5" hidden="1"/>
    <row r="14454" ht="13.5" hidden="1"/>
    <row r="14455" ht="13.5" hidden="1"/>
    <row r="14456" ht="13.5" hidden="1"/>
    <row r="14457" ht="13.5" hidden="1"/>
    <row r="14458" ht="13.5" hidden="1"/>
    <row r="14459" ht="13.5" hidden="1"/>
    <row r="14460" ht="13.5" hidden="1"/>
    <row r="14461" ht="13.5" hidden="1"/>
    <row r="14462" ht="13.5" hidden="1"/>
    <row r="14463" ht="13.5" hidden="1"/>
    <row r="14464" ht="13.5" hidden="1"/>
    <row r="14465" ht="13.5" hidden="1"/>
    <row r="14466" ht="13.5" hidden="1"/>
    <row r="14467" ht="13.5" hidden="1"/>
    <row r="14468" ht="13.5" hidden="1"/>
    <row r="14469" ht="13.5" hidden="1"/>
    <row r="14470" ht="13.5" hidden="1"/>
    <row r="14471" ht="13.5" hidden="1"/>
    <row r="14472" ht="13.5" hidden="1"/>
    <row r="14473" ht="13.5" hidden="1"/>
    <row r="14474" ht="13.5" hidden="1"/>
    <row r="14475" ht="13.5" hidden="1"/>
    <row r="14476" ht="13.5" hidden="1"/>
    <row r="14477" ht="13.5" hidden="1"/>
    <row r="14478" ht="13.5" hidden="1"/>
    <row r="14479" ht="13.5" hidden="1"/>
    <row r="14480" ht="13.5" hidden="1"/>
    <row r="14481" ht="13.5" hidden="1"/>
    <row r="14482" ht="13.5" hidden="1"/>
    <row r="14483" ht="13.5" hidden="1"/>
    <row r="14484" ht="13.5" hidden="1"/>
    <row r="14485" ht="13.5" hidden="1"/>
    <row r="14486" ht="13.5" hidden="1"/>
    <row r="14487" ht="13.5" hidden="1"/>
    <row r="14488" ht="13.5" hidden="1"/>
    <row r="14489" ht="13.5" hidden="1"/>
    <row r="14490" ht="13.5" hidden="1"/>
    <row r="14491" ht="13.5" hidden="1"/>
    <row r="14492" ht="13.5" hidden="1"/>
    <row r="14493" ht="13.5" hidden="1"/>
    <row r="14494" ht="13.5" hidden="1"/>
    <row r="14495" ht="13.5" hidden="1"/>
    <row r="14496" ht="13.5" hidden="1"/>
    <row r="14497" ht="13.5" hidden="1"/>
    <row r="14498" ht="13.5" hidden="1"/>
    <row r="14499" ht="13.5" hidden="1"/>
    <row r="14500" ht="13.5" hidden="1"/>
    <row r="14501" ht="13.5" hidden="1"/>
    <row r="14502" ht="13.5" hidden="1"/>
    <row r="14503" ht="13.5" hidden="1"/>
    <row r="14504" ht="13.5" hidden="1"/>
    <row r="14505" ht="13.5" hidden="1"/>
    <row r="14506" ht="13.5" hidden="1"/>
    <row r="14507" ht="13.5" hidden="1"/>
    <row r="14508" ht="13.5" hidden="1"/>
    <row r="14509" ht="13.5" hidden="1"/>
    <row r="14510" ht="13.5" hidden="1"/>
    <row r="14511" ht="13.5" hidden="1"/>
    <row r="14512" ht="13.5" hidden="1"/>
    <row r="14513" ht="13.5" hidden="1"/>
    <row r="14514" ht="13.5" hidden="1"/>
    <row r="14515" ht="13.5" hidden="1"/>
    <row r="14516" ht="13.5" hidden="1"/>
    <row r="14517" ht="13.5" hidden="1"/>
    <row r="14518" ht="13.5" hidden="1"/>
    <row r="14519" ht="13.5" hidden="1"/>
    <row r="14520" ht="13.5" hidden="1"/>
    <row r="14521" ht="13.5" hidden="1"/>
    <row r="14522" ht="13.5" hidden="1"/>
    <row r="14523" ht="13.5" hidden="1"/>
    <row r="14524" ht="13.5" hidden="1"/>
    <row r="14525" ht="13.5" hidden="1"/>
    <row r="14526" ht="13.5" hidden="1"/>
    <row r="14527" ht="13.5" hidden="1"/>
    <row r="14528" ht="13.5" hidden="1"/>
    <row r="14529" ht="13.5" hidden="1"/>
    <row r="14530" ht="13.5" hidden="1"/>
    <row r="14531" ht="13.5" hidden="1"/>
    <row r="14532" ht="13.5" hidden="1"/>
    <row r="14533" ht="13.5" hidden="1"/>
    <row r="14534" ht="13.5" hidden="1"/>
    <row r="14535" ht="13.5" hidden="1"/>
    <row r="14536" ht="13.5" hidden="1"/>
    <row r="14537" ht="13.5" hidden="1"/>
    <row r="14538" ht="13.5" hidden="1"/>
    <row r="14539" ht="13.5" hidden="1"/>
    <row r="14540" ht="13.5" hidden="1"/>
    <row r="14541" ht="13.5" hidden="1"/>
    <row r="14542" ht="13.5" hidden="1"/>
    <row r="14543" ht="13.5" hidden="1"/>
    <row r="14544" ht="13.5" hidden="1"/>
    <row r="14545" ht="13.5" hidden="1"/>
    <row r="14546" ht="13.5" hidden="1"/>
    <row r="14547" ht="13.5" hidden="1"/>
    <row r="14548" ht="13.5" hidden="1"/>
    <row r="14549" ht="13.5" hidden="1"/>
    <row r="14550" ht="13.5" hidden="1"/>
    <row r="14551" ht="13.5" hidden="1"/>
    <row r="14552" ht="13.5" hidden="1"/>
    <row r="14553" ht="13.5" hidden="1"/>
    <row r="14554" ht="13.5" hidden="1"/>
    <row r="14555" ht="13.5" hidden="1"/>
    <row r="14556" ht="13.5" hidden="1"/>
    <row r="14557" ht="13.5" hidden="1"/>
    <row r="14558" ht="13.5" hidden="1"/>
    <row r="14559" ht="13.5" hidden="1"/>
    <row r="14560" ht="13.5" hidden="1"/>
    <row r="14561" ht="13.5" hidden="1"/>
    <row r="14562" ht="13.5" hidden="1"/>
    <row r="14563" ht="13.5" hidden="1"/>
    <row r="14564" ht="13.5" hidden="1"/>
    <row r="14565" ht="13.5" hidden="1"/>
    <row r="14566" ht="13.5" hidden="1"/>
    <row r="14567" ht="13.5" hidden="1"/>
    <row r="14568" ht="13.5" hidden="1"/>
    <row r="14569" ht="13.5" hidden="1"/>
    <row r="14570" ht="13.5" hidden="1"/>
    <row r="14571" ht="13.5" hidden="1"/>
    <row r="14572" ht="13.5" hidden="1"/>
    <row r="14573" ht="13.5" hidden="1"/>
    <row r="14574" ht="13.5" hidden="1"/>
    <row r="14575" ht="13.5" hidden="1"/>
    <row r="14576" ht="13.5" hidden="1"/>
    <row r="14577" ht="13.5" hidden="1"/>
    <row r="14578" ht="13.5" hidden="1"/>
    <row r="14579" ht="13.5" hidden="1"/>
    <row r="14580" ht="13.5" hidden="1"/>
    <row r="14581" ht="13.5" hidden="1"/>
    <row r="14582" ht="13.5" hidden="1"/>
    <row r="14583" ht="13.5" hidden="1"/>
    <row r="14584" ht="13.5" hidden="1"/>
    <row r="14585" ht="13.5" hidden="1"/>
    <row r="14586" ht="13.5" hidden="1"/>
    <row r="14587" ht="13.5" hidden="1"/>
    <row r="14588" ht="13.5" hidden="1"/>
    <row r="14589" ht="13.5" hidden="1"/>
    <row r="14590" ht="13.5" hidden="1"/>
    <row r="14591" ht="13.5" hidden="1"/>
    <row r="14592" ht="13.5" hidden="1"/>
    <row r="14593" ht="13.5" hidden="1"/>
    <row r="14594" ht="13.5" hidden="1"/>
    <row r="14595" ht="13.5" hidden="1"/>
    <row r="14596" ht="13.5" hidden="1"/>
    <row r="14597" ht="13.5" hidden="1"/>
    <row r="14598" ht="13.5" hidden="1"/>
    <row r="14599" ht="13.5" hidden="1"/>
    <row r="14600" ht="13.5" hidden="1"/>
    <row r="14601" ht="13.5" hidden="1"/>
    <row r="14602" ht="13.5" hidden="1"/>
    <row r="14603" ht="13.5" hidden="1"/>
    <row r="14604" ht="13.5" hidden="1"/>
    <row r="14605" ht="13.5" hidden="1"/>
    <row r="14606" ht="13.5" hidden="1"/>
    <row r="14607" ht="13.5" hidden="1"/>
    <row r="14608" ht="13.5" hidden="1"/>
    <row r="14609" ht="13.5" hidden="1"/>
    <row r="14610" ht="13.5" hidden="1"/>
    <row r="14611" ht="13.5" hidden="1"/>
    <row r="14612" ht="13.5" hidden="1"/>
    <row r="14613" ht="13.5" hidden="1"/>
    <row r="14614" ht="13.5" hidden="1"/>
    <row r="14615" ht="13.5" hidden="1"/>
    <row r="14616" ht="13.5" hidden="1"/>
    <row r="14617" ht="13.5" hidden="1"/>
    <row r="14618" ht="13.5" hidden="1"/>
    <row r="14619" ht="13.5" hidden="1"/>
    <row r="14620" ht="13.5" hidden="1"/>
    <row r="14621" ht="13.5" hidden="1"/>
    <row r="14622" ht="13.5" hidden="1"/>
    <row r="14623" ht="13.5" hidden="1"/>
    <row r="14624" ht="13.5" hidden="1"/>
    <row r="14625" ht="13.5" hidden="1"/>
    <row r="14626" ht="13.5" hidden="1"/>
    <row r="14627" ht="13.5" hidden="1"/>
    <row r="14628" ht="13.5" hidden="1"/>
    <row r="14629" ht="13.5" hidden="1"/>
    <row r="14630" ht="13.5" hidden="1"/>
    <row r="14631" ht="13.5" hidden="1"/>
    <row r="14632" ht="13.5" hidden="1"/>
    <row r="14633" ht="13.5" hidden="1"/>
    <row r="14634" ht="13.5" hidden="1"/>
    <row r="14635" ht="13.5" hidden="1"/>
    <row r="14636" ht="13.5" hidden="1"/>
    <row r="14637" ht="13.5" hidden="1"/>
    <row r="14638" ht="13.5" hidden="1"/>
    <row r="14639" ht="13.5" hidden="1"/>
    <row r="14640" ht="13.5" hidden="1"/>
    <row r="14641" ht="13.5" hidden="1"/>
    <row r="14642" ht="13.5" hidden="1"/>
    <row r="14643" ht="13.5" hidden="1"/>
    <row r="14644" ht="13.5" hidden="1"/>
    <row r="14645" ht="13.5" hidden="1"/>
    <row r="14646" ht="13.5" hidden="1"/>
    <row r="14647" ht="13.5" hidden="1"/>
    <row r="14648" ht="13.5" hidden="1"/>
    <row r="14649" ht="13.5" hidden="1"/>
    <row r="14650" ht="13.5" hidden="1"/>
    <row r="14651" ht="13.5" hidden="1"/>
    <row r="14652" ht="13.5" hidden="1"/>
    <row r="14653" ht="13.5" hidden="1"/>
    <row r="14654" ht="13.5" hidden="1"/>
    <row r="14655" ht="13.5" hidden="1"/>
    <row r="14656" ht="13.5" hidden="1"/>
    <row r="14657" ht="13.5" hidden="1"/>
    <row r="14658" ht="13.5" hidden="1"/>
    <row r="14659" ht="13.5" hidden="1"/>
    <row r="14660" ht="13.5" hidden="1"/>
    <row r="14661" ht="13.5" hidden="1"/>
    <row r="14662" ht="13.5" hidden="1"/>
    <row r="14663" ht="13.5" hidden="1"/>
    <row r="14664" ht="13.5" hidden="1"/>
    <row r="14665" ht="13.5" hidden="1"/>
    <row r="14666" ht="13.5" hidden="1"/>
    <row r="14667" ht="13.5" hidden="1"/>
    <row r="14668" ht="13.5" hidden="1"/>
    <row r="14669" ht="13.5" hidden="1"/>
    <row r="14670" ht="13.5" hidden="1"/>
    <row r="14671" ht="13.5" hidden="1"/>
    <row r="14672" ht="13.5" hidden="1"/>
    <row r="14673" ht="13.5" hidden="1"/>
    <row r="14674" ht="13.5" hidden="1"/>
    <row r="14675" ht="13.5" hidden="1"/>
    <row r="14676" ht="13.5" hidden="1"/>
    <row r="14677" ht="13.5" hidden="1"/>
    <row r="14678" ht="13.5" hidden="1"/>
    <row r="14679" ht="13.5" hidden="1"/>
    <row r="14680" ht="13.5" hidden="1"/>
    <row r="14681" ht="13.5" hidden="1"/>
    <row r="14682" ht="13.5" hidden="1"/>
    <row r="14683" ht="13.5" hidden="1"/>
    <row r="14684" ht="13.5" hidden="1"/>
    <row r="14685" ht="13.5" hidden="1"/>
    <row r="14686" ht="13.5" hidden="1"/>
    <row r="14687" ht="13.5" hidden="1"/>
    <row r="14688" ht="13.5" hidden="1"/>
    <row r="14689" ht="13.5" hidden="1"/>
    <row r="14690" ht="13.5" hidden="1"/>
    <row r="14691" ht="13.5" hidden="1"/>
    <row r="14692" ht="13.5" hidden="1"/>
    <row r="14693" ht="13.5" hidden="1"/>
    <row r="14694" ht="13.5" hidden="1"/>
    <row r="14695" ht="13.5" hidden="1"/>
    <row r="14696" ht="13.5" hidden="1"/>
    <row r="14697" ht="13.5" hidden="1"/>
    <row r="14698" ht="13.5" hidden="1"/>
    <row r="14699" ht="13.5" hidden="1"/>
    <row r="14700" ht="13.5" hidden="1"/>
    <row r="14701" ht="13.5" hidden="1"/>
    <row r="14702" ht="13.5" hidden="1"/>
    <row r="14703" ht="13.5" hidden="1"/>
    <row r="14704" ht="13.5" hidden="1"/>
    <row r="14705" ht="13.5" hidden="1"/>
    <row r="14706" ht="13.5" hidden="1"/>
    <row r="14707" ht="13.5" hidden="1"/>
    <row r="14708" ht="13.5" hidden="1"/>
    <row r="14709" ht="13.5" hidden="1"/>
    <row r="14710" ht="13.5" hidden="1"/>
    <row r="14711" ht="13.5" hidden="1"/>
    <row r="14712" ht="13.5" hidden="1"/>
    <row r="14713" ht="13.5" hidden="1"/>
    <row r="14714" ht="13.5" hidden="1"/>
    <row r="14715" ht="13.5" hidden="1"/>
    <row r="14716" ht="13.5" hidden="1"/>
    <row r="14717" ht="13.5" hidden="1"/>
    <row r="14718" ht="13.5" hidden="1"/>
    <row r="14719" ht="13.5" hidden="1"/>
    <row r="14720" ht="13.5" hidden="1"/>
    <row r="14721" ht="13.5" hidden="1"/>
    <row r="14722" ht="13.5" hidden="1"/>
    <row r="14723" ht="13.5" hidden="1"/>
    <row r="14724" ht="13.5" hidden="1"/>
    <row r="14725" ht="13.5" hidden="1"/>
    <row r="14726" ht="13.5" hidden="1"/>
    <row r="14727" ht="13.5" hidden="1"/>
    <row r="14728" ht="13.5" hidden="1"/>
    <row r="14729" ht="13.5" hidden="1"/>
    <row r="14730" ht="13.5" hidden="1"/>
    <row r="14731" ht="13.5" hidden="1"/>
    <row r="14732" ht="13.5" hidden="1"/>
    <row r="14733" ht="13.5" hidden="1"/>
    <row r="14734" ht="13.5" hidden="1"/>
    <row r="14735" ht="13.5" hidden="1"/>
    <row r="14736" ht="13.5" hidden="1"/>
    <row r="14737" ht="13.5" hidden="1"/>
    <row r="14738" ht="13.5" hidden="1"/>
    <row r="14739" ht="13.5" hidden="1"/>
    <row r="14740" ht="13.5" hidden="1"/>
    <row r="14741" ht="13.5" hidden="1"/>
    <row r="14742" ht="13.5" hidden="1"/>
    <row r="14743" ht="13.5" hidden="1"/>
    <row r="14744" ht="13.5" hidden="1"/>
    <row r="14745" ht="13.5" hidden="1"/>
    <row r="14746" ht="13.5" hidden="1"/>
    <row r="14747" ht="13.5" hidden="1"/>
    <row r="14748" ht="13.5" hidden="1"/>
    <row r="14749" ht="13.5" hidden="1"/>
    <row r="14750" ht="13.5" hidden="1"/>
    <row r="14751" ht="13.5" hidden="1"/>
    <row r="14752" ht="13.5" hidden="1"/>
    <row r="14753" ht="13.5" hidden="1"/>
    <row r="14754" ht="13.5" hidden="1"/>
    <row r="14755" ht="13.5" hidden="1"/>
    <row r="14756" ht="13.5" hidden="1"/>
    <row r="14757" ht="13.5" hidden="1"/>
    <row r="14758" ht="13.5" hidden="1"/>
    <row r="14759" ht="13.5" hidden="1"/>
    <row r="14760" ht="13.5" hidden="1"/>
    <row r="14761" ht="13.5" hidden="1"/>
    <row r="14762" ht="13.5" hidden="1"/>
    <row r="14763" ht="13.5" hidden="1"/>
    <row r="14764" ht="13.5" hidden="1"/>
    <row r="14765" ht="13.5" hidden="1"/>
    <row r="14766" ht="13.5" hidden="1"/>
    <row r="14767" ht="13.5" hidden="1"/>
    <row r="14768" ht="13.5" hidden="1"/>
    <row r="14769" ht="13.5" hidden="1"/>
    <row r="14770" ht="13.5" hidden="1"/>
    <row r="14771" ht="13.5" hidden="1"/>
    <row r="14772" ht="13.5" hidden="1"/>
    <row r="14773" ht="13.5" hidden="1"/>
    <row r="14774" ht="13.5" hidden="1"/>
    <row r="14775" ht="13.5" hidden="1"/>
    <row r="14776" ht="13.5" hidden="1"/>
    <row r="14777" ht="13.5" hidden="1"/>
    <row r="14778" ht="13.5" hidden="1"/>
    <row r="14779" ht="13.5" hidden="1"/>
    <row r="14780" ht="13.5" hidden="1"/>
    <row r="14781" ht="13.5" hidden="1"/>
    <row r="14782" ht="13.5" hidden="1"/>
    <row r="14783" ht="13.5" hidden="1"/>
    <row r="14784" ht="13.5" hidden="1"/>
    <row r="14785" ht="13.5" hidden="1"/>
    <row r="14786" ht="13.5" hidden="1"/>
    <row r="14787" ht="13.5" hidden="1"/>
    <row r="14788" ht="13.5" hidden="1"/>
    <row r="14789" ht="13.5" hidden="1"/>
    <row r="14790" ht="13.5" hidden="1"/>
    <row r="14791" ht="13.5" hidden="1"/>
    <row r="14792" ht="13.5" hidden="1"/>
    <row r="14793" ht="13.5" hidden="1"/>
    <row r="14794" ht="13.5" hidden="1"/>
    <row r="14795" ht="13.5" hidden="1"/>
    <row r="14796" ht="13.5" hidden="1"/>
    <row r="14797" ht="13.5" hidden="1"/>
    <row r="14798" ht="13.5" hidden="1"/>
    <row r="14799" ht="13.5" hidden="1"/>
    <row r="14800" ht="13.5" hidden="1"/>
    <row r="14801" ht="13.5" hidden="1"/>
    <row r="14802" ht="13.5" hidden="1"/>
    <row r="14803" ht="13.5" hidden="1"/>
    <row r="14804" ht="13.5" hidden="1"/>
    <row r="14805" ht="13.5" hidden="1"/>
    <row r="14806" ht="13.5" hidden="1"/>
    <row r="14807" ht="13.5" hidden="1"/>
    <row r="14808" ht="13.5" hidden="1"/>
    <row r="14809" ht="13.5" hidden="1"/>
    <row r="14810" ht="13.5" hidden="1"/>
    <row r="14811" ht="13.5" hidden="1"/>
    <row r="14812" ht="13.5" hidden="1"/>
    <row r="14813" ht="13.5" hidden="1"/>
    <row r="14814" ht="13.5" hidden="1"/>
    <row r="14815" ht="13.5" hidden="1"/>
    <row r="14816" ht="13.5" hidden="1"/>
    <row r="14817" ht="13.5" hidden="1"/>
    <row r="14818" ht="13.5" hidden="1"/>
    <row r="14819" ht="13.5" hidden="1"/>
    <row r="14820" ht="13.5" hidden="1"/>
    <row r="14821" ht="13.5" hidden="1"/>
    <row r="14822" ht="13.5" hidden="1"/>
    <row r="14823" ht="13.5" hidden="1"/>
    <row r="14824" ht="13.5" hidden="1"/>
    <row r="14825" ht="13.5" hidden="1"/>
    <row r="14826" ht="13.5" hidden="1"/>
    <row r="14827" ht="13.5" hidden="1"/>
    <row r="14828" ht="13.5" hidden="1"/>
    <row r="14829" ht="13.5" hidden="1"/>
    <row r="14830" ht="13.5" hidden="1"/>
    <row r="14831" ht="13.5" hidden="1"/>
    <row r="14832" ht="13.5" hidden="1"/>
    <row r="14833" ht="13.5" hidden="1"/>
    <row r="14834" ht="13.5" hidden="1"/>
    <row r="14835" ht="13.5" hidden="1"/>
    <row r="14836" ht="13.5" hidden="1"/>
    <row r="14837" ht="13.5" hidden="1"/>
    <row r="14838" ht="13.5" hidden="1"/>
    <row r="14839" ht="13.5" hidden="1"/>
    <row r="14840" ht="13.5" hidden="1"/>
    <row r="14841" ht="13.5" hidden="1"/>
    <row r="14842" ht="13.5" hidden="1"/>
    <row r="14843" ht="13.5" hidden="1"/>
    <row r="14844" ht="13.5" hidden="1"/>
    <row r="14845" ht="13.5" hidden="1"/>
    <row r="14846" ht="13.5" hidden="1"/>
    <row r="14847" ht="13.5" hidden="1"/>
    <row r="14848" ht="13.5" hidden="1"/>
    <row r="14849" ht="13.5" hidden="1"/>
    <row r="14850" ht="13.5" hidden="1"/>
    <row r="14851" ht="13.5" hidden="1"/>
    <row r="14852" ht="13.5" hidden="1"/>
    <row r="14853" ht="13.5" hidden="1"/>
    <row r="14854" ht="13.5" hidden="1"/>
    <row r="14855" ht="13.5" hidden="1"/>
    <row r="14856" ht="13.5" hidden="1"/>
    <row r="14857" ht="13.5" hidden="1"/>
    <row r="14858" ht="13.5" hidden="1"/>
    <row r="14859" ht="13.5" hidden="1"/>
    <row r="14860" ht="13.5" hidden="1"/>
    <row r="14861" ht="13.5" hidden="1"/>
    <row r="14862" ht="13.5" hidden="1"/>
    <row r="14863" ht="13.5" hidden="1"/>
    <row r="14864" ht="13.5" hidden="1"/>
    <row r="14865" ht="13.5" hidden="1"/>
    <row r="14866" ht="13.5" hidden="1"/>
    <row r="14867" ht="13.5" hidden="1"/>
    <row r="14868" ht="13.5" hidden="1"/>
    <row r="14869" ht="13.5" hidden="1"/>
    <row r="14870" ht="13.5" hidden="1"/>
    <row r="14871" ht="13.5" hidden="1"/>
    <row r="14872" ht="13.5" hidden="1"/>
    <row r="14873" ht="13.5" hidden="1"/>
    <row r="14874" ht="13.5" hidden="1"/>
    <row r="14875" ht="13.5" hidden="1"/>
    <row r="14876" ht="13.5" hidden="1"/>
    <row r="14877" ht="13.5" hidden="1"/>
    <row r="14878" ht="13.5" hidden="1"/>
    <row r="14879" ht="13.5" hidden="1"/>
    <row r="14880" ht="13.5" hidden="1"/>
    <row r="14881" ht="13.5" hidden="1"/>
    <row r="14882" ht="13.5" hidden="1"/>
    <row r="14883" ht="13.5" hidden="1"/>
    <row r="14884" ht="13.5" hidden="1"/>
    <row r="14885" ht="13.5" hidden="1"/>
    <row r="14886" ht="13.5" hidden="1"/>
    <row r="14887" ht="13.5" hidden="1"/>
    <row r="14888" ht="13.5" hidden="1"/>
    <row r="14889" ht="13.5" hidden="1"/>
    <row r="14890" ht="13.5" hidden="1"/>
    <row r="14891" ht="13.5" hidden="1"/>
    <row r="14892" ht="13.5" hidden="1"/>
    <row r="14893" ht="13.5" hidden="1"/>
    <row r="14894" ht="13.5" hidden="1"/>
    <row r="14895" ht="13.5" hidden="1"/>
    <row r="14896" ht="13.5" hidden="1"/>
    <row r="14897" ht="13.5" hidden="1"/>
    <row r="14898" ht="13.5" hidden="1"/>
    <row r="14899" ht="13.5" hidden="1"/>
    <row r="14900" ht="13.5" hidden="1"/>
    <row r="14901" ht="13.5" hidden="1"/>
    <row r="14902" ht="13.5" hidden="1"/>
    <row r="14903" ht="13.5" hidden="1"/>
    <row r="14904" ht="13.5" hidden="1"/>
    <row r="14905" ht="13.5" hidden="1"/>
    <row r="14906" ht="13.5" hidden="1"/>
    <row r="14907" ht="13.5" hidden="1"/>
    <row r="14908" ht="13.5" hidden="1"/>
    <row r="14909" ht="13.5" hidden="1"/>
    <row r="14910" ht="13.5" hidden="1"/>
    <row r="14911" ht="13.5" hidden="1"/>
    <row r="14912" ht="13.5" hidden="1"/>
    <row r="14913" ht="13.5" hidden="1"/>
    <row r="14914" ht="13.5" hidden="1"/>
    <row r="14915" ht="13.5" hidden="1"/>
    <row r="14916" ht="13.5" hidden="1"/>
    <row r="14917" ht="13.5" hidden="1"/>
    <row r="14918" ht="13.5" hidden="1"/>
    <row r="14919" ht="13.5" hidden="1"/>
    <row r="14920" ht="13.5" hidden="1"/>
    <row r="14921" ht="13.5" hidden="1"/>
    <row r="14922" ht="13.5" hidden="1"/>
    <row r="14923" ht="13.5" hidden="1"/>
    <row r="14924" ht="13.5" hidden="1"/>
    <row r="14925" ht="13.5" hidden="1"/>
    <row r="14926" ht="13.5" hidden="1"/>
    <row r="14927" ht="13.5" hidden="1"/>
    <row r="14928" ht="13.5" hidden="1"/>
    <row r="14929" ht="13.5" hidden="1"/>
    <row r="14930" ht="13.5" hidden="1"/>
    <row r="14931" ht="13.5" hidden="1"/>
    <row r="14932" ht="13.5" hidden="1"/>
    <row r="14933" ht="13.5" hidden="1"/>
    <row r="14934" ht="13.5" hidden="1"/>
    <row r="14935" ht="13.5" hidden="1"/>
    <row r="14936" ht="13.5" hidden="1"/>
    <row r="14937" ht="13.5" hidden="1"/>
    <row r="14938" ht="13.5" hidden="1"/>
    <row r="14939" ht="13.5" hidden="1"/>
    <row r="14940" ht="13.5" hidden="1"/>
    <row r="14941" ht="13.5" hidden="1"/>
    <row r="14942" ht="13.5" hidden="1"/>
    <row r="14943" ht="13.5" hidden="1"/>
    <row r="14944" ht="13.5" hidden="1"/>
    <row r="14945" ht="13.5" hidden="1"/>
    <row r="14946" ht="13.5" hidden="1"/>
    <row r="14947" ht="13.5" hidden="1"/>
    <row r="14948" ht="13.5" hidden="1"/>
    <row r="14949" ht="13.5" hidden="1"/>
    <row r="14950" ht="13.5" hidden="1"/>
    <row r="14951" ht="13.5" hidden="1"/>
    <row r="14952" ht="13.5" hidden="1"/>
    <row r="14953" ht="13.5" hidden="1"/>
    <row r="14954" ht="13.5" hidden="1"/>
    <row r="14955" ht="13.5" hidden="1"/>
    <row r="14956" ht="13.5" hidden="1"/>
    <row r="14957" ht="13.5" hidden="1"/>
    <row r="14958" ht="13.5" hidden="1"/>
    <row r="14959" ht="13.5" hidden="1"/>
    <row r="14960" ht="13.5" hidden="1"/>
    <row r="14961" ht="13.5" hidden="1"/>
    <row r="14962" ht="13.5" hidden="1"/>
    <row r="14963" ht="13.5" hidden="1"/>
    <row r="14964" ht="13.5" hidden="1"/>
    <row r="14965" ht="13.5" hidden="1"/>
    <row r="14966" ht="13.5" hidden="1"/>
    <row r="14967" ht="13.5" hidden="1"/>
    <row r="14968" ht="13.5" hidden="1"/>
    <row r="14969" ht="13.5" hidden="1"/>
    <row r="14970" ht="13.5" hidden="1"/>
    <row r="14971" ht="13.5" hidden="1"/>
    <row r="14972" ht="13.5" hidden="1"/>
    <row r="14973" ht="13.5" hidden="1"/>
    <row r="14974" ht="13.5" hidden="1"/>
    <row r="14975" ht="13.5" hidden="1"/>
    <row r="14976" ht="13.5" hidden="1"/>
    <row r="14977" ht="13.5" hidden="1"/>
    <row r="14978" ht="13.5" hidden="1"/>
    <row r="14979" ht="13.5" hidden="1"/>
    <row r="14980" ht="13.5" hidden="1"/>
    <row r="14981" ht="13.5" hidden="1"/>
    <row r="14982" ht="13.5" hidden="1"/>
    <row r="14983" ht="13.5" hidden="1"/>
    <row r="14984" ht="13.5" hidden="1"/>
    <row r="14985" ht="13.5" hidden="1"/>
    <row r="14986" ht="13.5" hidden="1"/>
    <row r="14987" ht="13.5" hidden="1"/>
    <row r="14988" ht="13.5" hidden="1"/>
    <row r="14989" ht="13.5" hidden="1"/>
    <row r="14990" ht="13.5" hidden="1"/>
    <row r="14991" ht="13.5" hidden="1"/>
    <row r="14992" ht="13.5" hidden="1"/>
    <row r="14993" ht="13.5" hidden="1"/>
    <row r="14994" ht="13.5" hidden="1"/>
    <row r="14995" ht="13.5" hidden="1"/>
    <row r="14996" ht="13.5" hidden="1"/>
    <row r="14997" ht="13.5" hidden="1"/>
    <row r="14998" ht="13.5" hidden="1"/>
    <row r="14999" ht="13.5" hidden="1"/>
    <row r="15000" ht="13.5" hidden="1"/>
    <row r="15001" ht="13.5" hidden="1"/>
    <row r="15002" ht="13.5" hidden="1"/>
    <row r="15003" ht="13.5" hidden="1"/>
    <row r="15004" ht="13.5" hidden="1"/>
    <row r="15005" ht="13.5" hidden="1"/>
    <row r="15006" ht="13.5" hidden="1"/>
    <row r="15007" ht="13.5" hidden="1"/>
    <row r="15008" ht="13.5" hidden="1"/>
    <row r="15009" ht="13.5" hidden="1"/>
    <row r="15010" ht="13.5" hidden="1"/>
    <row r="15011" ht="13.5" hidden="1"/>
    <row r="15012" ht="13.5" hidden="1"/>
    <row r="15013" ht="13.5" hidden="1"/>
    <row r="15014" ht="13.5" hidden="1"/>
    <row r="15015" ht="13.5" hidden="1"/>
    <row r="15016" ht="13.5" hidden="1"/>
    <row r="15017" ht="13.5" hidden="1"/>
    <row r="15018" ht="13.5" hidden="1"/>
    <row r="15019" ht="13.5" hidden="1"/>
    <row r="15020" ht="13.5" hidden="1"/>
    <row r="15021" ht="13.5" hidden="1"/>
    <row r="15022" ht="13.5" hidden="1"/>
    <row r="15023" ht="13.5" hidden="1"/>
    <row r="15024" ht="13.5" hidden="1"/>
    <row r="15025" ht="13.5" hidden="1"/>
    <row r="15026" ht="13.5" hidden="1"/>
    <row r="15027" ht="13.5" hidden="1"/>
    <row r="15028" ht="13.5" hidden="1"/>
    <row r="15029" ht="13.5" hidden="1"/>
    <row r="15030" ht="13.5" hidden="1"/>
    <row r="15031" ht="13.5" hidden="1"/>
    <row r="15032" ht="13.5" hidden="1"/>
    <row r="15033" ht="13.5" hidden="1"/>
    <row r="15034" ht="13.5" hidden="1"/>
    <row r="15035" ht="13.5" hidden="1"/>
    <row r="15036" ht="13.5" hidden="1"/>
    <row r="15037" ht="13.5" hidden="1"/>
    <row r="15038" ht="13.5" hidden="1"/>
    <row r="15039" ht="13.5" hidden="1"/>
    <row r="15040" ht="13.5" hidden="1"/>
    <row r="15041" ht="13.5" hidden="1"/>
    <row r="15042" ht="13.5" hidden="1"/>
    <row r="15043" ht="13.5" hidden="1"/>
    <row r="15044" ht="13.5" hidden="1"/>
    <row r="15045" ht="13.5" hidden="1"/>
    <row r="15046" ht="13.5" hidden="1"/>
    <row r="15047" ht="13.5" hidden="1"/>
    <row r="15048" ht="13.5" hidden="1"/>
    <row r="15049" ht="13.5" hidden="1"/>
    <row r="15050" ht="13.5" hidden="1"/>
    <row r="15051" ht="13.5" hidden="1"/>
    <row r="15052" ht="13.5" hidden="1"/>
    <row r="15053" ht="13.5" hidden="1"/>
    <row r="15054" ht="13.5" hidden="1"/>
    <row r="15055" ht="13.5" hidden="1"/>
    <row r="15056" ht="13.5" hidden="1"/>
    <row r="15057" ht="13.5" hidden="1"/>
    <row r="15058" ht="13.5" hidden="1"/>
    <row r="15059" ht="13.5" hidden="1"/>
    <row r="15060" ht="13.5" hidden="1"/>
    <row r="15061" ht="13.5" hidden="1"/>
    <row r="15062" ht="13.5" hidden="1"/>
    <row r="15063" ht="13.5" hidden="1"/>
    <row r="15064" ht="13.5" hidden="1"/>
    <row r="15065" ht="13.5" hidden="1"/>
    <row r="15066" ht="13.5" hidden="1"/>
    <row r="15067" ht="13.5" hidden="1"/>
    <row r="15068" ht="13.5" hidden="1"/>
    <row r="15069" ht="13.5" hidden="1"/>
    <row r="15070" ht="13.5" hidden="1"/>
    <row r="15071" ht="13.5" hidden="1"/>
    <row r="15072" ht="13.5" hidden="1"/>
    <row r="15073" ht="13.5" hidden="1"/>
    <row r="15074" ht="13.5" hidden="1"/>
    <row r="15075" ht="13.5" hidden="1"/>
    <row r="15076" ht="13.5" hidden="1"/>
    <row r="15077" ht="13.5" hidden="1"/>
    <row r="15078" ht="13.5" hidden="1"/>
    <row r="15079" ht="13.5" hidden="1"/>
    <row r="15080" ht="13.5" hidden="1"/>
    <row r="15081" ht="13.5" hidden="1"/>
    <row r="15082" ht="13.5" hidden="1"/>
    <row r="15083" ht="13.5" hidden="1"/>
    <row r="15084" ht="13.5" hidden="1"/>
    <row r="15085" ht="13.5" hidden="1"/>
    <row r="15086" ht="13.5" hidden="1"/>
    <row r="15087" ht="13.5" hidden="1"/>
    <row r="15088" ht="13.5" hidden="1"/>
    <row r="15089" ht="13.5" hidden="1"/>
    <row r="15090" ht="13.5" hidden="1"/>
    <row r="15091" ht="13.5" hidden="1"/>
    <row r="15092" ht="13.5" hidden="1"/>
    <row r="15093" ht="13.5" hidden="1"/>
    <row r="15094" ht="13.5" hidden="1"/>
    <row r="15095" ht="13.5" hidden="1"/>
    <row r="15096" ht="13.5" hidden="1"/>
    <row r="15097" ht="13.5" hidden="1"/>
    <row r="15098" ht="13.5" hidden="1"/>
    <row r="15099" ht="13.5" hidden="1"/>
    <row r="15100" ht="13.5" hidden="1"/>
    <row r="15101" ht="13.5" hidden="1"/>
    <row r="15102" ht="13.5" hidden="1"/>
    <row r="15103" ht="13.5" hidden="1"/>
    <row r="15104" ht="13.5" hidden="1"/>
    <row r="15105" ht="13.5" hidden="1"/>
    <row r="15106" ht="13.5" hidden="1"/>
    <row r="15107" ht="13.5" hidden="1"/>
    <row r="15108" ht="13.5" hidden="1"/>
    <row r="15109" ht="13.5" hidden="1"/>
    <row r="15110" ht="13.5" hidden="1"/>
    <row r="15111" ht="13.5" hidden="1"/>
    <row r="15112" ht="13.5" hidden="1"/>
    <row r="15113" ht="13.5" hidden="1"/>
    <row r="15114" ht="13.5" hidden="1"/>
    <row r="15115" ht="13.5" hidden="1"/>
    <row r="15116" ht="13.5" hidden="1"/>
    <row r="15117" ht="13.5" hidden="1"/>
    <row r="15118" ht="13.5" hidden="1"/>
    <row r="15119" ht="13.5" hidden="1"/>
    <row r="15120" ht="13.5" hidden="1"/>
    <row r="15121" ht="13.5" hidden="1"/>
    <row r="15122" ht="13.5" hidden="1"/>
    <row r="15123" ht="13.5" hidden="1"/>
    <row r="15124" ht="13.5" hidden="1"/>
    <row r="15125" ht="13.5" hidden="1"/>
    <row r="15126" ht="13.5" hidden="1"/>
    <row r="15127" ht="13.5" hidden="1"/>
    <row r="15128" ht="13.5" hidden="1"/>
    <row r="15129" ht="13.5" hidden="1"/>
    <row r="15130" ht="13.5" hidden="1"/>
    <row r="15131" ht="13.5" hidden="1"/>
    <row r="15132" ht="13.5" hidden="1"/>
    <row r="15133" ht="13.5" hidden="1"/>
    <row r="15134" ht="13.5" hidden="1"/>
    <row r="15135" ht="13.5" hidden="1"/>
    <row r="15136" ht="13.5" hidden="1"/>
    <row r="15137" ht="13.5" hidden="1"/>
    <row r="15138" ht="13.5" hidden="1"/>
    <row r="15139" ht="13.5" hidden="1"/>
    <row r="15140" ht="13.5" hidden="1"/>
    <row r="15141" ht="13.5" hidden="1"/>
    <row r="15142" ht="13.5" hidden="1"/>
    <row r="15143" ht="13.5" hidden="1"/>
    <row r="15144" ht="13.5" hidden="1"/>
    <row r="15145" ht="13.5" hidden="1"/>
    <row r="15146" ht="13.5" hidden="1"/>
    <row r="15147" ht="13.5" hidden="1"/>
    <row r="15148" ht="13.5" hidden="1"/>
    <row r="15149" ht="13.5" hidden="1"/>
    <row r="15150" ht="13.5" hidden="1"/>
    <row r="15151" ht="13.5" hidden="1"/>
    <row r="15152" ht="13.5" hidden="1"/>
    <row r="15153" ht="13.5" hidden="1"/>
    <row r="15154" ht="13.5" hidden="1"/>
    <row r="15155" ht="13.5" hidden="1"/>
    <row r="15156" ht="13.5" hidden="1"/>
    <row r="15157" ht="13.5" hidden="1"/>
    <row r="15158" ht="13.5" hidden="1"/>
    <row r="15159" ht="13.5" hidden="1"/>
    <row r="15160" ht="13.5" hidden="1"/>
    <row r="15161" ht="13.5" hidden="1"/>
    <row r="15162" ht="13.5" hidden="1"/>
    <row r="15163" ht="13.5" hidden="1"/>
    <row r="15164" ht="13.5" hidden="1"/>
    <row r="15165" ht="13.5" hidden="1"/>
    <row r="15166" ht="13.5" hidden="1"/>
    <row r="15167" ht="13.5" hidden="1"/>
    <row r="15168" ht="13.5" hidden="1"/>
    <row r="15169" ht="13.5" hidden="1"/>
    <row r="15170" ht="13.5" hidden="1"/>
    <row r="15171" ht="13.5" hidden="1"/>
    <row r="15172" ht="13.5" hidden="1"/>
    <row r="15173" ht="13.5" hidden="1"/>
    <row r="15174" ht="13.5" hidden="1"/>
    <row r="15175" ht="13.5" hidden="1"/>
    <row r="15176" ht="13.5" hidden="1"/>
    <row r="15177" ht="13.5" hidden="1"/>
    <row r="15178" ht="13.5" hidden="1"/>
    <row r="15179" ht="13.5" hidden="1"/>
    <row r="15180" ht="13.5" hidden="1"/>
    <row r="15181" ht="13.5" hidden="1"/>
    <row r="15182" ht="13.5" hidden="1"/>
    <row r="15183" ht="13.5" hidden="1"/>
    <row r="15184" ht="13.5" hidden="1"/>
    <row r="15185" ht="13.5" hidden="1"/>
    <row r="15186" ht="13.5" hidden="1"/>
    <row r="15187" ht="13.5" hidden="1"/>
    <row r="15188" ht="13.5" hidden="1"/>
    <row r="15189" ht="13.5" hidden="1"/>
    <row r="15190" ht="13.5" hidden="1"/>
    <row r="15191" ht="13.5" hidden="1"/>
    <row r="15192" ht="13.5" hidden="1"/>
    <row r="15193" ht="13.5" hidden="1"/>
    <row r="15194" ht="13.5" hidden="1"/>
    <row r="15195" ht="13.5" hidden="1"/>
    <row r="15196" ht="13.5" hidden="1"/>
    <row r="15197" ht="13.5" hidden="1"/>
    <row r="15198" ht="13.5" hidden="1"/>
    <row r="15199" ht="13.5" hidden="1"/>
    <row r="15200" ht="13.5" hidden="1"/>
    <row r="15201" ht="13.5" hidden="1"/>
    <row r="15202" ht="13.5" hidden="1"/>
    <row r="15203" ht="13.5" hidden="1"/>
    <row r="15204" ht="13.5" hidden="1"/>
    <row r="15205" ht="13.5" hidden="1"/>
    <row r="15206" ht="13.5" hidden="1"/>
    <row r="15207" ht="13.5" hidden="1"/>
    <row r="15208" ht="13.5" hidden="1"/>
    <row r="15209" ht="13.5" hidden="1"/>
    <row r="15210" ht="13.5" hidden="1"/>
    <row r="15211" ht="13.5" hidden="1"/>
    <row r="15212" ht="13.5" hidden="1"/>
    <row r="15213" ht="13.5" hidden="1"/>
    <row r="15214" ht="13.5" hidden="1"/>
    <row r="15215" ht="13.5" hidden="1"/>
    <row r="15216" ht="13.5" hidden="1"/>
    <row r="15217" ht="13.5" hidden="1"/>
    <row r="15218" ht="13.5" hidden="1"/>
    <row r="15219" ht="13.5" hidden="1"/>
    <row r="15220" ht="13.5" hidden="1"/>
    <row r="15221" ht="13.5" hidden="1"/>
    <row r="15222" ht="13.5" hidden="1"/>
    <row r="15223" ht="13.5" hidden="1"/>
    <row r="15224" ht="13.5" hidden="1"/>
    <row r="15225" ht="13.5" hidden="1"/>
    <row r="15226" ht="13.5" hidden="1"/>
    <row r="15227" ht="13.5" hidden="1"/>
    <row r="15228" ht="13.5" hidden="1"/>
    <row r="15229" ht="13.5" hidden="1"/>
    <row r="15230" ht="13.5" hidden="1"/>
    <row r="15231" ht="13.5" hidden="1"/>
    <row r="15232" ht="13.5" hidden="1"/>
    <row r="15233" ht="13.5" hidden="1"/>
    <row r="15234" ht="13.5" hidden="1"/>
    <row r="15235" ht="13.5" hidden="1"/>
    <row r="15236" ht="13.5" hidden="1"/>
    <row r="15237" ht="13.5" hidden="1"/>
    <row r="15238" ht="13.5" hidden="1"/>
    <row r="15239" ht="13.5" hidden="1"/>
    <row r="15240" ht="13.5" hidden="1"/>
    <row r="15241" ht="13.5" hidden="1"/>
    <row r="15242" ht="13.5" hidden="1"/>
    <row r="15243" ht="13.5" hidden="1"/>
    <row r="15244" ht="13.5" hidden="1"/>
    <row r="15245" ht="13.5" hidden="1"/>
    <row r="15246" ht="13.5" hidden="1"/>
    <row r="15247" ht="13.5" hidden="1"/>
    <row r="15248" ht="13.5" hidden="1"/>
    <row r="15249" ht="13.5" hidden="1"/>
    <row r="15250" ht="13.5" hidden="1"/>
    <row r="15251" ht="13.5" hidden="1"/>
    <row r="15252" ht="13.5" hidden="1"/>
    <row r="15253" ht="13.5" hidden="1"/>
    <row r="15254" ht="13.5" hidden="1"/>
    <row r="15255" ht="13.5" hidden="1"/>
    <row r="15256" ht="13.5" hidden="1"/>
    <row r="15257" ht="13.5" hidden="1"/>
    <row r="15258" ht="13.5" hidden="1"/>
    <row r="15259" ht="13.5" hidden="1"/>
    <row r="15260" ht="13.5" hidden="1"/>
    <row r="15261" ht="13.5" hidden="1"/>
    <row r="15262" ht="13.5" hidden="1"/>
    <row r="15263" ht="13.5" hidden="1"/>
    <row r="15264" ht="13.5" hidden="1"/>
    <row r="15265" ht="13.5" hidden="1"/>
    <row r="15266" ht="13.5" hidden="1"/>
    <row r="15267" ht="13.5" hidden="1"/>
    <row r="15268" ht="13.5" hidden="1"/>
    <row r="15269" ht="13.5" hidden="1"/>
    <row r="15270" ht="13.5" hidden="1"/>
    <row r="15271" ht="13.5" hidden="1"/>
    <row r="15272" ht="13.5" hidden="1"/>
    <row r="15273" ht="13.5" hidden="1"/>
    <row r="15274" ht="13.5" hidden="1"/>
    <row r="15275" ht="13.5" hidden="1"/>
    <row r="15276" ht="13.5" hidden="1"/>
    <row r="15277" ht="13.5" hidden="1"/>
    <row r="15278" ht="13.5" hidden="1"/>
    <row r="15279" ht="13.5" hidden="1"/>
    <row r="15280" ht="13.5" hidden="1"/>
    <row r="15281" ht="13.5" hidden="1"/>
    <row r="15282" ht="13.5" hidden="1"/>
    <row r="15283" ht="13.5" hidden="1"/>
    <row r="15284" ht="13.5" hidden="1"/>
    <row r="15285" ht="13.5" hidden="1"/>
    <row r="15286" ht="13.5" hidden="1"/>
    <row r="15287" ht="13.5" hidden="1"/>
    <row r="15288" ht="13.5" hidden="1"/>
    <row r="15289" ht="13.5" hidden="1"/>
    <row r="15290" ht="13.5" hidden="1"/>
    <row r="15291" ht="13.5" hidden="1"/>
    <row r="15292" ht="13.5" hidden="1"/>
    <row r="15293" ht="13.5" hidden="1"/>
    <row r="15294" ht="13.5" hidden="1"/>
    <row r="15295" ht="13.5" hidden="1"/>
    <row r="15296" ht="13.5" hidden="1"/>
    <row r="15297" ht="13.5" hidden="1"/>
    <row r="15298" ht="13.5" hidden="1"/>
    <row r="15299" ht="13.5" hidden="1"/>
    <row r="15300" ht="13.5" hidden="1"/>
    <row r="15301" ht="13.5" hidden="1"/>
    <row r="15302" ht="13.5" hidden="1"/>
    <row r="15303" ht="13.5" hidden="1"/>
    <row r="15304" ht="13.5" hidden="1"/>
    <row r="15305" ht="13.5" hidden="1"/>
    <row r="15306" ht="13.5" hidden="1"/>
    <row r="15307" ht="13.5" hidden="1"/>
    <row r="15308" ht="13.5" hidden="1"/>
    <row r="15309" ht="13.5" hidden="1"/>
    <row r="15310" ht="13.5" hidden="1"/>
    <row r="15311" ht="13.5" hidden="1"/>
    <row r="15312" ht="13.5" hidden="1"/>
    <row r="15313" ht="13.5" hidden="1"/>
    <row r="15314" ht="13.5" hidden="1"/>
    <row r="15315" ht="13.5" hidden="1"/>
    <row r="15316" ht="13.5" hidden="1"/>
    <row r="15317" ht="13.5" hidden="1"/>
    <row r="15318" ht="13.5" hidden="1"/>
    <row r="15319" ht="13.5" hidden="1"/>
    <row r="15320" ht="13.5" hidden="1"/>
    <row r="15321" ht="13.5" hidden="1"/>
    <row r="15322" ht="13.5" hidden="1"/>
    <row r="15323" ht="13.5" hidden="1"/>
    <row r="15324" ht="13.5" hidden="1"/>
    <row r="15325" ht="13.5" hidden="1"/>
    <row r="15326" ht="13.5" hidden="1"/>
    <row r="15327" ht="13.5" hidden="1"/>
    <row r="15328" ht="13.5" hidden="1"/>
    <row r="15329" ht="13.5" hidden="1"/>
    <row r="15330" ht="13.5" hidden="1"/>
    <row r="15331" ht="13.5" hidden="1"/>
    <row r="15332" ht="13.5" hidden="1"/>
    <row r="15333" ht="13.5" hidden="1"/>
    <row r="15334" ht="13.5" hidden="1"/>
    <row r="15335" ht="13.5" hidden="1"/>
    <row r="15336" ht="13.5" hidden="1"/>
    <row r="15337" ht="13.5" hidden="1"/>
    <row r="15338" ht="13.5" hidden="1"/>
    <row r="15339" ht="13.5" hidden="1"/>
    <row r="15340" ht="13.5" hidden="1"/>
    <row r="15341" ht="13.5" hidden="1"/>
    <row r="15342" ht="13.5" hidden="1"/>
    <row r="15343" ht="13.5" hidden="1"/>
    <row r="15344" ht="13.5" hidden="1"/>
    <row r="15345" ht="13.5" hidden="1"/>
    <row r="15346" ht="13.5" hidden="1"/>
    <row r="15347" ht="13.5" hidden="1"/>
    <row r="15348" ht="13.5" hidden="1"/>
    <row r="15349" ht="13.5" hidden="1"/>
    <row r="15350" ht="13.5" hidden="1"/>
    <row r="15351" ht="13.5" hidden="1"/>
    <row r="15352" ht="13.5" hidden="1"/>
    <row r="15353" ht="13.5" hidden="1"/>
    <row r="15354" ht="13.5" hidden="1"/>
    <row r="15355" ht="13.5" hidden="1"/>
    <row r="15356" ht="13.5" hidden="1"/>
    <row r="15357" ht="13.5" hidden="1"/>
    <row r="15358" ht="13.5" hidden="1"/>
    <row r="15359" ht="13.5" hidden="1"/>
    <row r="15360" ht="13.5" hidden="1"/>
    <row r="15361" ht="13.5" hidden="1"/>
    <row r="15362" ht="13.5" hidden="1"/>
    <row r="15363" ht="13.5" hidden="1"/>
    <row r="15364" ht="13.5" hidden="1"/>
    <row r="15365" ht="13.5" hidden="1"/>
    <row r="15366" ht="13.5" hidden="1"/>
    <row r="15367" ht="13.5" hidden="1"/>
    <row r="15368" ht="13.5" hidden="1"/>
    <row r="15369" ht="13.5" hidden="1"/>
    <row r="15370" ht="13.5" hidden="1"/>
    <row r="15371" ht="13.5" hidden="1"/>
    <row r="15372" ht="13.5" hidden="1"/>
    <row r="15373" ht="13.5" hidden="1"/>
    <row r="15374" ht="13.5" hidden="1"/>
    <row r="15375" ht="13.5" hidden="1"/>
    <row r="15376" ht="13.5" hidden="1"/>
    <row r="15377" ht="13.5" hidden="1"/>
    <row r="15378" ht="13.5" hidden="1"/>
    <row r="15379" ht="13.5" hidden="1"/>
    <row r="15380" ht="13.5" hidden="1"/>
    <row r="15381" ht="13.5" hidden="1"/>
    <row r="15382" ht="13.5" hidden="1"/>
    <row r="15383" ht="13.5" hidden="1"/>
    <row r="15384" ht="13.5" hidden="1"/>
    <row r="15385" ht="13.5" hidden="1"/>
    <row r="15386" ht="13.5" hidden="1"/>
    <row r="15387" ht="13.5" hidden="1"/>
    <row r="15388" ht="13.5" hidden="1"/>
    <row r="15389" ht="13.5" hidden="1"/>
    <row r="15390" ht="13.5" hidden="1"/>
    <row r="15391" ht="13.5" hidden="1"/>
    <row r="15392" ht="13.5" hidden="1"/>
    <row r="15393" ht="13.5" hidden="1"/>
    <row r="15394" ht="13.5" hidden="1"/>
    <row r="15395" ht="13.5" hidden="1"/>
    <row r="15396" ht="13.5" hidden="1"/>
    <row r="15397" ht="13.5" hidden="1"/>
    <row r="15398" ht="13.5" hidden="1"/>
    <row r="15399" ht="13.5" hidden="1"/>
    <row r="15400" ht="13.5" hidden="1"/>
    <row r="15401" ht="13.5" hidden="1"/>
    <row r="15402" ht="13.5" hidden="1"/>
    <row r="15403" ht="13.5" hidden="1"/>
    <row r="15404" ht="13.5" hidden="1"/>
    <row r="15405" ht="13.5" hidden="1"/>
    <row r="15406" ht="13.5" hidden="1"/>
    <row r="15407" ht="13.5" hidden="1"/>
    <row r="15408" ht="13.5" hidden="1"/>
    <row r="15409" ht="13.5" hidden="1"/>
    <row r="15410" ht="13.5" hidden="1"/>
    <row r="15411" ht="13.5" hidden="1"/>
    <row r="15412" ht="13.5" hidden="1"/>
    <row r="15413" ht="13.5" hidden="1"/>
    <row r="15414" ht="13.5" hidden="1"/>
    <row r="15415" ht="13.5" hidden="1"/>
    <row r="15416" ht="13.5" hidden="1"/>
    <row r="15417" ht="13.5" hidden="1"/>
    <row r="15418" ht="13.5" hidden="1"/>
    <row r="15419" ht="13.5" hidden="1"/>
    <row r="15420" ht="13.5" hidden="1"/>
    <row r="15421" ht="13.5" hidden="1"/>
    <row r="15422" ht="13.5" hidden="1"/>
    <row r="15423" ht="13.5" hidden="1"/>
    <row r="15424" ht="13.5" hidden="1"/>
    <row r="15425" ht="13.5" hidden="1"/>
    <row r="15426" ht="13.5" hidden="1"/>
    <row r="15427" ht="13.5" hidden="1"/>
    <row r="15428" ht="13.5" hidden="1"/>
    <row r="15429" ht="13.5" hidden="1"/>
    <row r="15430" ht="13.5" hidden="1"/>
    <row r="15431" ht="13.5" hidden="1"/>
    <row r="15432" ht="13.5" hidden="1"/>
    <row r="15433" ht="13.5" hidden="1"/>
    <row r="15434" ht="13.5" hidden="1"/>
    <row r="15435" ht="13.5" hidden="1"/>
    <row r="15436" ht="13.5" hidden="1"/>
    <row r="15437" ht="13.5" hidden="1"/>
    <row r="15438" ht="13.5" hidden="1"/>
    <row r="15439" ht="13.5" hidden="1"/>
    <row r="15440" ht="13.5" hidden="1"/>
    <row r="15441" ht="13.5" hidden="1"/>
    <row r="15442" ht="13.5" hidden="1"/>
    <row r="15443" ht="13.5" hidden="1"/>
    <row r="15444" ht="13.5" hidden="1"/>
    <row r="15445" ht="13.5" hidden="1"/>
    <row r="15446" ht="13.5" hidden="1"/>
    <row r="15447" ht="13.5" hidden="1"/>
    <row r="15448" ht="13.5" hidden="1"/>
    <row r="15449" ht="13.5" hidden="1"/>
    <row r="15450" ht="13.5" hidden="1"/>
    <row r="15451" ht="13.5" hidden="1"/>
    <row r="15452" ht="13.5" hidden="1"/>
    <row r="15453" ht="13.5" hidden="1"/>
    <row r="15454" ht="13.5" hidden="1"/>
    <row r="15455" ht="13.5" hidden="1"/>
    <row r="15456" ht="13.5" hidden="1"/>
    <row r="15457" ht="13.5" hidden="1"/>
    <row r="15458" ht="13.5" hidden="1"/>
    <row r="15459" ht="13.5" hidden="1"/>
    <row r="15460" ht="13.5" hidden="1"/>
    <row r="15461" ht="13.5" hidden="1"/>
    <row r="15462" ht="13.5" hidden="1"/>
    <row r="15463" ht="13.5" hidden="1"/>
    <row r="15464" ht="13.5" hidden="1"/>
    <row r="15465" ht="13.5" hidden="1"/>
    <row r="15466" ht="13.5" hidden="1"/>
    <row r="15467" ht="13.5" hidden="1"/>
    <row r="15468" ht="13.5" hidden="1"/>
    <row r="15469" ht="13.5" hidden="1"/>
    <row r="15470" ht="13.5" hidden="1"/>
    <row r="15471" ht="13.5" hidden="1"/>
    <row r="15472" ht="13.5" hidden="1"/>
    <row r="15473" ht="13.5" hidden="1"/>
    <row r="15474" ht="13.5" hidden="1"/>
    <row r="15475" ht="13.5" hidden="1"/>
    <row r="15476" ht="13.5" hidden="1"/>
    <row r="15477" ht="13.5" hidden="1"/>
    <row r="15478" ht="13.5" hidden="1"/>
    <row r="15479" ht="13.5" hidden="1"/>
    <row r="15480" ht="13.5" hidden="1"/>
    <row r="15481" ht="13.5" hidden="1"/>
    <row r="15482" ht="13.5" hidden="1"/>
    <row r="15483" ht="13.5" hidden="1"/>
    <row r="15484" ht="13.5" hidden="1"/>
    <row r="15485" ht="13.5" hidden="1"/>
    <row r="15486" ht="13.5" hidden="1"/>
    <row r="15487" ht="13.5" hidden="1"/>
    <row r="15488" ht="13.5" hidden="1"/>
    <row r="15489" ht="13.5" hidden="1"/>
    <row r="15490" ht="13.5" hidden="1"/>
    <row r="15491" ht="13.5" hidden="1"/>
    <row r="15492" ht="13.5" hidden="1"/>
    <row r="15493" ht="13.5" hidden="1"/>
    <row r="15494" ht="13.5" hidden="1"/>
    <row r="15495" ht="13.5" hidden="1"/>
    <row r="15496" ht="13.5" hidden="1"/>
    <row r="15497" ht="13.5" hidden="1"/>
    <row r="15498" ht="13.5" hidden="1"/>
    <row r="15499" ht="13.5" hidden="1"/>
    <row r="15500" ht="13.5" hidden="1"/>
    <row r="15501" ht="13.5" hidden="1"/>
    <row r="15502" ht="13.5" hidden="1"/>
    <row r="15503" ht="13.5" hidden="1"/>
    <row r="15504" ht="13.5" hidden="1"/>
    <row r="15505" ht="13.5" hidden="1"/>
    <row r="15506" ht="13.5" hidden="1"/>
    <row r="15507" ht="13.5" hidden="1"/>
    <row r="15508" ht="13.5" hidden="1"/>
    <row r="15509" ht="13.5" hidden="1"/>
    <row r="15510" ht="13.5" hidden="1"/>
    <row r="15511" ht="13.5" hidden="1"/>
    <row r="15512" ht="13.5" hidden="1"/>
    <row r="15513" ht="13.5" hidden="1"/>
    <row r="15514" ht="13.5" hidden="1"/>
    <row r="15515" ht="13.5" hidden="1"/>
    <row r="15516" ht="13.5" hidden="1"/>
    <row r="15517" ht="13.5" hidden="1"/>
    <row r="15518" ht="13.5" hidden="1"/>
    <row r="15519" ht="13.5" hidden="1"/>
    <row r="15520" ht="13.5" hidden="1"/>
    <row r="15521" ht="13.5" hidden="1"/>
    <row r="15522" ht="13.5" hidden="1"/>
    <row r="15523" ht="13.5" hidden="1"/>
    <row r="15524" ht="13.5" hidden="1"/>
    <row r="15525" ht="13.5" hidden="1"/>
    <row r="15526" ht="13.5" hidden="1"/>
    <row r="15527" ht="13.5" hidden="1"/>
    <row r="15528" ht="13.5" hidden="1"/>
    <row r="15529" ht="13.5" hidden="1"/>
    <row r="15530" ht="13.5" hidden="1"/>
    <row r="15531" ht="13.5" hidden="1"/>
    <row r="15532" ht="13.5" hidden="1"/>
    <row r="15533" ht="13.5" hidden="1"/>
    <row r="15534" ht="13.5" hidden="1"/>
    <row r="15535" ht="13.5" hidden="1"/>
    <row r="15536" ht="13.5" hidden="1"/>
    <row r="15537" ht="13.5" hidden="1"/>
    <row r="15538" ht="13.5" hidden="1"/>
    <row r="15539" ht="13.5" hidden="1"/>
    <row r="15540" ht="13.5" hidden="1"/>
    <row r="15541" ht="13.5" hidden="1"/>
    <row r="15542" ht="13.5" hidden="1"/>
    <row r="15543" ht="13.5" hidden="1"/>
    <row r="15544" ht="13.5" hidden="1"/>
    <row r="15545" ht="13.5" hidden="1"/>
    <row r="15546" ht="13.5" hidden="1"/>
    <row r="15547" ht="13.5" hidden="1"/>
    <row r="15548" ht="13.5" hidden="1"/>
    <row r="15549" ht="13.5" hidden="1"/>
    <row r="15550" ht="13.5" hidden="1"/>
    <row r="15551" ht="13.5" hidden="1"/>
    <row r="15552" ht="13.5" hidden="1"/>
    <row r="15553" ht="13.5" hidden="1"/>
    <row r="15554" ht="13.5" hidden="1"/>
    <row r="15555" ht="13.5" hidden="1"/>
    <row r="15556" ht="13.5" hidden="1"/>
    <row r="15557" ht="13.5" hidden="1"/>
    <row r="15558" ht="13.5" hidden="1"/>
    <row r="15559" ht="13.5" hidden="1"/>
    <row r="15560" ht="13.5" hidden="1"/>
    <row r="15561" ht="13.5" hidden="1"/>
    <row r="15562" ht="13.5" hidden="1"/>
    <row r="15563" ht="13.5" hidden="1"/>
    <row r="15564" ht="13.5" hidden="1"/>
    <row r="15565" ht="13.5" hidden="1"/>
    <row r="15566" ht="13.5" hidden="1"/>
    <row r="15567" ht="13.5" hidden="1"/>
    <row r="15568" ht="13.5" hidden="1"/>
    <row r="15569" ht="13.5" hidden="1"/>
    <row r="15570" ht="13.5" hidden="1"/>
    <row r="15571" ht="13.5" hidden="1"/>
    <row r="15572" ht="13.5" hidden="1"/>
    <row r="15573" ht="13.5" hidden="1"/>
    <row r="15574" ht="13.5" hidden="1"/>
    <row r="15575" ht="13.5" hidden="1"/>
    <row r="15576" ht="13.5" hidden="1"/>
    <row r="15577" ht="13.5" hidden="1"/>
    <row r="15578" ht="13.5" hidden="1"/>
    <row r="15579" ht="13.5" hidden="1"/>
    <row r="15580" ht="13.5" hidden="1"/>
    <row r="15581" ht="13.5" hidden="1"/>
    <row r="15582" ht="13.5" hidden="1"/>
    <row r="15583" ht="13.5" hidden="1"/>
    <row r="15584" ht="13.5" hidden="1"/>
    <row r="15585" ht="13.5" hidden="1"/>
    <row r="15586" ht="13.5" hidden="1"/>
    <row r="15587" ht="13.5" hidden="1"/>
    <row r="15588" ht="13.5" hidden="1"/>
    <row r="15589" ht="13.5" hidden="1"/>
    <row r="15590" ht="13.5" hidden="1"/>
    <row r="15591" ht="13.5" hidden="1"/>
    <row r="15592" ht="13.5" hidden="1"/>
    <row r="15593" ht="13.5" hidden="1"/>
    <row r="15594" ht="13.5" hidden="1"/>
    <row r="15595" ht="13.5" hidden="1"/>
    <row r="15596" ht="13.5" hidden="1"/>
    <row r="15597" ht="13.5" hidden="1"/>
    <row r="15598" ht="13.5" hidden="1"/>
    <row r="15599" ht="13.5" hidden="1"/>
    <row r="15600" ht="13.5" hidden="1"/>
    <row r="15601" ht="13.5" hidden="1"/>
    <row r="15602" ht="13.5" hidden="1"/>
    <row r="15603" ht="13.5" hidden="1"/>
    <row r="15604" ht="13.5" hidden="1"/>
    <row r="15605" ht="13.5" hidden="1"/>
    <row r="15606" ht="13.5" hidden="1"/>
    <row r="15607" ht="13.5" hidden="1"/>
    <row r="15608" ht="13.5" hidden="1"/>
    <row r="15609" ht="13.5" hidden="1"/>
    <row r="15610" ht="13.5" hidden="1"/>
    <row r="15611" ht="13.5" hidden="1"/>
    <row r="15612" ht="13.5" hidden="1"/>
    <row r="15613" ht="13.5" hidden="1"/>
    <row r="15614" ht="13.5" hidden="1"/>
    <row r="15615" ht="13.5" hidden="1"/>
    <row r="15616" ht="13.5" hidden="1"/>
    <row r="15617" ht="13.5" hidden="1"/>
    <row r="15618" ht="13.5" hidden="1"/>
    <row r="15619" ht="13.5" hidden="1"/>
    <row r="15620" ht="13.5" hidden="1"/>
    <row r="15621" ht="13.5" hidden="1"/>
    <row r="15622" ht="13.5" hidden="1"/>
    <row r="15623" ht="13.5" hidden="1"/>
    <row r="15624" ht="13.5" hidden="1"/>
    <row r="15625" ht="13.5" hidden="1"/>
    <row r="15626" ht="13.5" hidden="1"/>
    <row r="15627" ht="13.5" hidden="1"/>
    <row r="15628" ht="13.5" hidden="1"/>
    <row r="15629" ht="13.5" hidden="1"/>
    <row r="15630" ht="13.5" hidden="1"/>
    <row r="15631" ht="13.5" hidden="1"/>
    <row r="15632" ht="13.5" hidden="1"/>
    <row r="15633" ht="13.5" hidden="1"/>
    <row r="15634" ht="13.5" hidden="1"/>
    <row r="15635" ht="13.5" hidden="1"/>
    <row r="15636" ht="13.5" hidden="1"/>
    <row r="15637" ht="13.5" hidden="1"/>
    <row r="15638" ht="13.5" hidden="1"/>
    <row r="15639" ht="13.5" hidden="1"/>
    <row r="15640" ht="13.5" hidden="1"/>
    <row r="15641" ht="13.5" hidden="1"/>
    <row r="15642" ht="13.5" hidden="1"/>
    <row r="15643" ht="13.5" hidden="1"/>
    <row r="15644" ht="13.5" hidden="1"/>
    <row r="15645" ht="13.5" hidden="1"/>
    <row r="15646" ht="13.5" hidden="1"/>
    <row r="15647" ht="13.5" hidden="1"/>
    <row r="15648" ht="13.5" hidden="1"/>
    <row r="15649" ht="13.5" hidden="1"/>
    <row r="15650" ht="13.5" hidden="1"/>
    <row r="15651" ht="13.5" hidden="1"/>
    <row r="15652" ht="13.5" hidden="1"/>
    <row r="15653" ht="13.5" hidden="1"/>
    <row r="15654" ht="13.5" hidden="1"/>
    <row r="15655" ht="13.5" hidden="1"/>
    <row r="15656" ht="13.5" hidden="1"/>
    <row r="15657" ht="13.5" hidden="1"/>
    <row r="15658" ht="13.5" hidden="1"/>
    <row r="15659" ht="13.5" hidden="1"/>
    <row r="15660" ht="13.5" hidden="1"/>
    <row r="15661" ht="13.5" hidden="1"/>
    <row r="15662" ht="13.5" hidden="1"/>
    <row r="15663" ht="13.5" hidden="1"/>
    <row r="15664" ht="13.5" hidden="1"/>
    <row r="15665" ht="13.5" hidden="1"/>
    <row r="15666" ht="13.5" hidden="1"/>
    <row r="15667" ht="13.5" hidden="1"/>
    <row r="15668" ht="13.5" hidden="1"/>
    <row r="15669" ht="13.5" hidden="1"/>
    <row r="15670" ht="13.5" hidden="1"/>
    <row r="15671" ht="13.5" hidden="1"/>
    <row r="15672" ht="13.5" hidden="1"/>
    <row r="15673" ht="13.5" hidden="1"/>
    <row r="15674" ht="13.5" hidden="1"/>
    <row r="15675" ht="13.5" hidden="1"/>
    <row r="15676" ht="13.5" hidden="1"/>
    <row r="15677" ht="13.5" hidden="1"/>
    <row r="15678" ht="13.5" hidden="1"/>
    <row r="15679" ht="13.5" hidden="1"/>
    <row r="15680" ht="13.5" hidden="1"/>
    <row r="15681" ht="13.5" hidden="1"/>
    <row r="15682" ht="13.5" hidden="1"/>
    <row r="15683" ht="13.5" hidden="1"/>
    <row r="15684" ht="13.5" hidden="1"/>
    <row r="15685" ht="13.5" hidden="1"/>
    <row r="15686" ht="13.5" hidden="1"/>
    <row r="15687" ht="13.5" hidden="1"/>
    <row r="15688" ht="13.5" hidden="1"/>
    <row r="15689" ht="13.5" hidden="1"/>
    <row r="15690" ht="13.5" hidden="1"/>
    <row r="15691" ht="13.5" hidden="1"/>
    <row r="15692" ht="13.5" hidden="1"/>
    <row r="15693" ht="13.5" hidden="1"/>
    <row r="15694" ht="13.5" hidden="1"/>
    <row r="15695" ht="13.5" hidden="1"/>
    <row r="15696" ht="13.5" hidden="1"/>
    <row r="15697" ht="13.5" hidden="1"/>
    <row r="15698" ht="13.5" hidden="1"/>
    <row r="15699" ht="13.5" hidden="1"/>
    <row r="15700" ht="13.5" hidden="1"/>
    <row r="15701" ht="13.5" hidden="1"/>
    <row r="15702" ht="13.5" hidden="1"/>
    <row r="15703" ht="13.5" hidden="1"/>
    <row r="15704" ht="13.5" hidden="1"/>
    <row r="15705" ht="13.5" hidden="1"/>
    <row r="15706" ht="13.5" hidden="1"/>
    <row r="15707" ht="13.5" hidden="1"/>
    <row r="15708" ht="13.5" hidden="1"/>
    <row r="15709" ht="13.5" hidden="1"/>
    <row r="15710" ht="13.5" hidden="1"/>
    <row r="15711" ht="13.5" hidden="1"/>
    <row r="15712" ht="13.5" hidden="1"/>
    <row r="15713" ht="13.5" hidden="1"/>
    <row r="15714" ht="13.5" hidden="1"/>
    <row r="15715" ht="13.5" hidden="1"/>
    <row r="15716" ht="13.5" hidden="1"/>
    <row r="15717" ht="13.5" hidden="1"/>
    <row r="15718" ht="13.5" hidden="1"/>
    <row r="15719" ht="13.5" hidden="1"/>
    <row r="15720" ht="13.5" hidden="1"/>
    <row r="15721" ht="13.5" hidden="1"/>
    <row r="15722" ht="13.5" hidden="1"/>
    <row r="15723" ht="13.5" hidden="1"/>
    <row r="15724" ht="13.5" hidden="1"/>
    <row r="15725" ht="13.5" hidden="1"/>
    <row r="15726" ht="13.5" hidden="1"/>
    <row r="15727" ht="13.5" hidden="1"/>
    <row r="15728" ht="13.5" hidden="1"/>
    <row r="15729" ht="13.5" hidden="1"/>
    <row r="15730" ht="13.5" hidden="1"/>
    <row r="15731" ht="13.5" hidden="1"/>
    <row r="15732" ht="13.5" hidden="1"/>
    <row r="15733" ht="13.5" hidden="1"/>
    <row r="15734" ht="13.5" hidden="1"/>
    <row r="15735" ht="13.5" hidden="1"/>
    <row r="15736" ht="13.5" hidden="1"/>
    <row r="15737" ht="13.5" hidden="1"/>
    <row r="15738" ht="13.5" hidden="1"/>
    <row r="15739" ht="13.5" hidden="1"/>
    <row r="15740" ht="13.5" hidden="1"/>
    <row r="15741" ht="13.5" hidden="1"/>
    <row r="15742" ht="13.5" hidden="1"/>
    <row r="15743" ht="13.5" hidden="1"/>
    <row r="15744" ht="13.5" hidden="1"/>
    <row r="15745" ht="13.5" hidden="1"/>
    <row r="15746" ht="13.5" hidden="1"/>
    <row r="15747" ht="13.5" hidden="1"/>
    <row r="15748" ht="13.5" hidden="1"/>
    <row r="15749" ht="13.5" hidden="1"/>
    <row r="15750" ht="13.5" hidden="1"/>
    <row r="15751" ht="13.5" hidden="1"/>
    <row r="15752" ht="13.5" hidden="1"/>
    <row r="15753" ht="13.5" hidden="1"/>
    <row r="15754" ht="13.5" hidden="1"/>
    <row r="15755" ht="13.5" hidden="1"/>
    <row r="15756" ht="13.5" hidden="1"/>
    <row r="15757" ht="13.5" hidden="1"/>
    <row r="15758" ht="13.5" hidden="1"/>
    <row r="15759" ht="13.5" hidden="1"/>
    <row r="15760" ht="13.5" hidden="1"/>
    <row r="15761" ht="13.5" hidden="1"/>
    <row r="15762" ht="13.5" hidden="1"/>
    <row r="15763" ht="13.5" hidden="1"/>
    <row r="15764" ht="13.5" hidden="1"/>
    <row r="15765" ht="13.5" hidden="1"/>
    <row r="15766" ht="13.5" hidden="1"/>
    <row r="15767" ht="13.5" hidden="1"/>
    <row r="15768" ht="13.5" hidden="1"/>
    <row r="15769" ht="13.5" hidden="1"/>
    <row r="15770" ht="13.5" hidden="1"/>
    <row r="15771" ht="13.5" hidden="1"/>
    <row r="15772" ht="13.5" hidden="1"/>
    <row r="15773" ht="13.5" hidden="1"/>
    <row r="15774" ht="13.5" hidden="1"/>
    <row r="15775" ht="13.5" hidden="1"/>
    <row r="15776" ht="13.5" hidden="1"/>
    <row r="15777" ht="13.5" hidden="1"/>
    <row r="15778" ht="13.5" hidden="1"/>
    <row r="15779" ht="13.5" hidden="1"/>
    <row r="15780" ht="13.5" hidden="1"/>
    <row r="15781" ht="13.5" hidden="1"/>
    <row r="15782" ht="13.5" hidden="1"/>
    <row r="15783" ht="13.5" hidden="1"/>
    <row r="15784" ht="13.5" hidden="1"/>
    <row r="15785" ht="13.5" hidden="1"/>
    <row r="15786" ht="13.5" hidden="1"/>
    <row r="15787" ht="13.5" hidden="1"/>
    <row r="15788" ht="13.5" hidden="1"/>
    <row r="15789" ht="13.5" hidden="1"/>
    <row r="15790" ht="13.5" hidden="1"/>
    <row r="15791" ht="13.5" hidden="1"/>
    <row r="15792" ht="13.5" hidden="1"/>
    <row r="15793" ht="13.5" hidden="1"/>
    <row r="15794" ht="13.5" hidden="1"/>
    <row r="15795" ht="13.5" hidden="1"/>
    <row r="15796" ht="13.5" hidden="1"/>
    <row r="15797" ht="13.5" hidden="1"/>
    <row r="15798" ht="13.5" hidden="1"/>
    <row r="15799" ht="13.5" hidden="1"/>
    <row r="15800" ht="13.5" hidden="1"/>
    <row r="15801" ht="13.5" hidden="1"/>
    <row r="15802" ht="13.5" hidden="1"/>
    <row r="15803" ht="13.5" hidden="1"/>
    <row r="15804" ht="13.5" hidden="1"/>
    <row r="15805" ht="13.5" hidden="1"/>
    <row r="15806" ht="13.5" hidden="1"/>
    <row r="15807" ht="13.5" hidden="1"/>
    <row r="15808" ht="13.5" hidden="1"/>
    <row r="15809" ht="13.5" hidden="1"/>
    <row r="15810" ht="13.5" hidden="1"/>
    <row r="15811" ht="13.5" hidden="1"/>
    <row r="15812" ht="13.5" hidden="1"/>
    <row r="15813" ht="13.5" hidden="1"/>
    <row r="15814" ht="13.5" hidden="1"/>
    <row r="15815" ht="13.5" hidden="1"/>
    <row r="15816" ht="13.5" hidden="1"/>
    <row r="15817" ht="13.5" hidden="1"/>
    <row r="15818" ht="13.5" hidden="1"/>
    <row r="15819" ht="13.5" hidden="1"/>
    <row r="15820" ht="13.5" hidden="1"/>
    <row r="15821" ht="13.5" hidden="1"/>
    <row r="15822" ht="13.5" hidden="1"/>
    <row r="15823" ht="13.5" hidden="1"/>
    <row r="15824" ht="13.5" hidden="1"/>
    <row r="15825" ht="13.5" hidden="1"/>
    <row r="15826" ht="13.5" hidden="1"/>
    <row r="15827" ht="13.5" hidden="1"/>
    <row r="15828" ht="13.5" hidden="1"/>
    <row r="15829" ht="13.5" hidden="1"/>
    <row r="15830" ht="13.5" hidden="1"/>
    <row r="15831" ht="13.5" hidden="1"/>
    <row r="15832" ht="13.5" hidden="1"/>
    <row r="15833" ht="13.5" hidden="1"/>
    <row r="15834" ht="13.5" hidden="1"/>
    <row r="15835" ht="13.5" hidden="1"/>
    <row r="15836" ht="13.5" hidden="1"/>
    <row r="15837" ht="13.5" hidden="1"/>
    <row r="15838" ht="13.5" hidden="1"/>
    <row r="15839" ht="13.5" hidden="1"/>
    <row r="15840" ht="13.5" hidden="1"/>
    <row r="15841" ht="13.5" hidden="1"/>
    <row r="15842" ht="13.5" hidden="1"/>
    <row r="15843" ht="13.5" hidden="1"/>
    <row r="15844" ht="13.5" hidden="1"/>
    <row r="15845" ht="13.5" hidden="1"/>
    <row r="15846" ht="13.5" hidden="1"/>
    <row r="15847" ht="13.5" hidden="1"/>
    <row r="15848" ht="13.5" hidden="1"/>
    <row r="15849" ht="13.5" hidden="1"/>
    <row r="15850" ht="13.5" hidden="1"/>
    <row r="15851" ht="13.5" hidden="1"/>
    <row r="15852" ht="13.5" hidden="1"/>
    <row r="15853" ht="13.5" hidden="1"/>
    <row r="15854" ht="13.5" hidden="1"/>
    <row r="15855" ht="13.5" hidden="1"/>
    <row r="15856" ht="13.5" hidden="1"/>
    <row r="15857" ht="13.5" hidden="1"/>
    <row r="15858" ht="13.5" hidden="1"/>
    <row r="15859" ht="13.5" hidden="1"/>
    <row r="15860" ht="13.5" hidden="1"/>
    <row r="15861" ht="13.5" hidden="1"/>
    <row r="15862" ht="13.5" hidden="1"/>
    <row r="15863" ht="13.5" hidden="1"/>
    <row r="15864" ht="13.5" hidden="1"/>
    <row r="15865" ht="13.5" hidden="1"/>
    <row r="15866" ht="13.5" hidden="1"/>
    <row r="15867" ht="13.5" hidden="1"/>
    <row r="15868" ht="13.5" hidden="1"/>
    <row r="15869" ht="13.5" hidden="1"/>
    <row r="15870" ht="13.5" hidden="1"/>
    <row r="15871" ht="13.5" hidden="1"/>
    <row r="15872" ht="13.5" hidden="1"/>
    <row r="15873" ht="13.5" hidden="1"/>
    <row r="15874" ht="13.5" hidden="1"/>
    <row r="15875" ht="13.5" hidden="1"/>
    <row r="15876" ht="13.5" hidden="1"/>
    <row r="15877" ht="13.5" hidden="1"/>
    <row r="15878" ht="13.5" hidden="1"/>
    <row r="15879" ht="13.5" hidden="1"/>
    <row r="15880" ht="13.5" hidden="1"/>
    <row r="15881" ht="13.5" hidden="1"/>
    <row r="15882" ht="13.5" hidden="1"/>
    <row r="15883" ht="13.5" hidden="1"/>
    <row r="15884" ht="13.5" hidden="1"/>
    <row r="15885" ht="13.5" hidden="1"/>
    <row r="15886" ht="13.5" hidden="1"/>
    <row r="15887" ht="13.5" hidden="1"/>
    <row r="15888" ht="13.5" hidden="1"/>
    <row r="15889" ht="13.5" hidden="1"/>
    <row r="15890" ht="13.5" hidden="1"/>
    <row r="15891" ht="13.5" hidden="1"/>
    <row r="15892" ht="13.5" hidden="1"/>
    <row r="15893" ht="13.5" hidden="1"/>
    <row r="15894" ht="13.5" hidden="1"/>
    <row r="15895" ht="13.5" hidden="1"/>
    <row r="15896" ht="13.5" hidden="1"/>
    <row r="15897" ht="13.5" hidden="1"/>
    <row r="15898" ht="13.5" hidden="1"/>
    <row r="15899" ht="13.5" hidden="1"/>
    <row r="15900" ht="13.5" hidden="1"/>
    <row r="15901" ht="13.5" hidden="1"/>
    <row r="15902" ht="13.5" hidden="1"/>
    <row r="15903" ht="13.5" hidden="1"/>
    <row r="15904" ht="13.5" hidden="1"/>
    <row r="15905" ht="13.5" hidden="1"/>
    <row r="15906" ht="13.5" hidden="1"/>
    <row r="15907" ht="13.5" hidden="1"/>
    <row r="15908" ht="13.5" hidden="1"/>
    <row r="15909" ht="13.5" hidden="1"/>
    <row r="15910" ht="13.5" hidden="1"/>
    <row r="15911" ht="13.5" hidden="1"/>
    <row r="15912" ht="13.5" hidden="1"/>
    <row r="15913" ht="13.5" hidden="1"/>
    <row r="15914" ht="13.5" hidden="1"/>
    <row r="15915" ht="13.5" hidden="1"/>
    <row r="15916" ht="13.5" hidden="1"/>
    <row r="15917" ht="13.5" hidden="1"/>
    <row r="15918" ht="13.5" hidden="1"/>
    <row r="15919" ht="13.5" hidden="1"/>
    <row r="15920" ht="13.5" hidden="1"/>
    <row r="15921" ht="13.5" hidden="1"/>
    <row r="15922" ht="13.5" hidden="1"/>
    <row r="15923" ht="13.5" hidden="1"/>
    <row r="15924" ht="13.5" hidden="1"/>
    <row r="15925" ht="13.5" hidden="1"/>
    <row r="15926" ht="13.5" hidden="1"/>
    <row r="15927" ht="13.5" hidden="1"/>
    <row r="15928" ht="13.5" hidden="1"/>
    <row r="15929" ht="13.5" hidden="1"/>
    <row r="15930" ht="13.5" hidden="1"/>
    <row r="15931" ht="13.5" hidden="1"/>
    <row r="15932" ht="13.5" hidden="1"/>
    <row r="15933" ht="13.5" hidden="1"/>
    <row r="15934" ht="13.5" hidden="1"/>
    <row r="15935" ht="13.5" hidden="1"/>
    <row r="15936" ht="13.5" hidden="1"/>
    <row r="15937" ht="13.5" hidden="1"/>
    <row r="15938" ht="13.5" hidden="1"/>
    <row r="15939" ht="13.5" hidden="1"/>
    <row r="15940" ht="13.5" hidden="1"/>
    <row r="15941" ht="13.5" hidden="1"/>
    <row r="15942" ht="13.5" hidden="1"/>
    <row r="15943" ht="13.5" hidden="1"/>
    <row r="15944" ht="13.5" hidden="1"/>
    <row r="15945" ht="13.5" hidden="1"/>
    <row r="15946" ht="13.5" hidden="1"/>
    <row r="15947" ht="13.5" hidden="1"/>
    <row r="15948" ht="13.5" hidden="1"/>
    <row r="15949" ht="13.5" hidden="1"/>
    <row r="15950" ht="13.5" hidden="1"/>
    <row r="15951" ht="13.5" hidden="1"/>
    <row r="15952" ht="13.5" hidden="1"/>
    <row r="15953" ht="13.5" hidden="1"/>
    <row r="15954" ht="13.5" hidden="1"/>
    <row r="15955" ht="13.5" hidden="1"/>
    <row r="15956" ht="13.5" hidden="1"/>
    <row r="15957" ht="13.5" hidden="1"/>
    <row r="15958" ht="13.5" hidden="1"/>
    <row r="15959" ht="13.5" hidden="1"/>
    <row r="15960" ht="13.5" hidden="1"/>
    <row r="15961" ht="13.5" hidden="1"/>
    <row r="15962" ht="13.5" hidden="1"/>
    <row r="15963" ht="13.5" hidden="1"/>
    <row r="15964" ht="13.5" hidden="1"/>
    <row r="15965" ht="13.5" hidden="1"/>
    <row r="15966" ht="13.5" hidden="1"/>
    <row r="15967" ht="13.5" hidden="1"/>
    <row r="15968" ht="13.5" hidden="1"/>
    <row r="15969" ht="13.5" hidden="1"/>
    <row r="15970" ht="13.5" hidden="1"/>
    <row r="15971" ht="13.5" hidden="1"/>
    <row r="15972" ht="13.5" hidden="1"/>
    <row r="15973" ht="13.5" hidden="1"/>
    <row r="15974" ht="13.5" hidden="1"/>
    <row r="15975" ht="13.5" hidden="1"/>
    <row r="15976" ht="13.5" hidden="1"/>
    <row r="15977" ht="13.5" hidden="1"/>
    <row r="15978" ht="13.5" hidden="1"/>
    <row r="15979" ht="13.5" hidden="1"/>
    <row r="15980" ht="13.5" hidden="1"/>
    <row r="15981" ht="13.5" hidden="1"/>
    <row r="15982" ht="13.5" hidden="1"/>
    <row r="15983" ht="13.5" hidden="1"/>
    <row r="15984" ht="13.5" hidden="1"/>
    <row r="15985" ht="13.5" hidden="1"/>
    <row r="15986" ht="13.5" hidden="1"/>
    <row r="15987" ht="13.5" hidden="1"/>
    <row r="15988" ht="13.5" hidden="1"/>
    <row r="15989" ht="13.5" hidden="1"/>
    <row r="15990" ht="13.5" hidden="1"/>
    <row r="15991" ht="13.5" hidden="1"/>
    <row r="15992" ht="13.5" hidden="1"/>
    <row r="15993" ht="13.5" hidden="1"/>
    <row r="15994" ht="13.5" hidden="1"/>
    <row r="15995" ht="13.5" hidden="1"/>
    <row r="15996" ht="13.5" hidden="1"/>
    <row r="15997" ht="13.5" hidden="1"/>
    <row r="15998" ht="13.5" hidden="1"/>
    <row r="15999" ht="13.5" hidden="1"/>
    <row r="16000" ht="13.5" hidden="1"/>
    <row r="16001" ht="13.5" hidden="1"/>
    <row r="16002" ht="13.5" hidden="1"/>
    <row r="16003" ht="13.5" hidden="1"/>
    <row r="16004" ht="13.5" hidden="1"/>
    <row r="16005" ht="13.5" hidden="1"/>
    <row r="16006" ht="13.5" hidden="1"/>
    <row r="16007" ht="13.5" hidden="1"/>
    <row r="16008" ht="13.5" hidden="1"/>
    <row r="16009" ht="13.5" hidden="1"/>
    <row r="16010" ht="13.5" hidden="1"/>
    <row r="16011" ht="13.5" hidden="1"/>
    <row r="16012" ht="13.5" hidden="1"/>
    <row r="16013" ht="13.5" hidden="1"/>
    <row r="16014" ht="13.5" hidden="1"/>
    <row r="16015" ht="13.5" hidden="1"/>
    <row r="16016" ht="13.5" hidden="1"/>
    <row r="16017" ht="13.5" hidden="1"/>
    <row r="16018" ht="13.5" hidden="1"/>
    <row r="16019" ht="13.5" hidden="1"/>
    <row r="16020" ht="13.5" hidden="1"/>
    <row r="16021" ht="13.5" hidden="1"/>
    <row r="16022" ht="13.5" hidden="1"/>
    <row r="16023" ht="13.5" hidden="1"/>
    <row r="16024" ht="13.5" hidden="1"/>
    <row r="16025" ht="13.5" hidden="1"/>
    <row r="16026" ht="13.5" hidden="1"/>
    <row r="16027" ht="13.5" hidden="1"/>
    <row r="16028" ht="13.5" hidden="1"/>
    <row r="16029" ht="13.5" hidden="1"/>
    <row r="16030" ht="13.5" hidden="1"/>
    <row r="16031" ht="13.5" hidden="1"/>
    <row r="16032" ht="13.5" hidden="1"/>
    <row r="16033" ht="13.5" hidden="1"/>
    <row r="16034" ht="13.5" hidden="1"/>
    <row r="16035" ht="13.5" hidden="1"/>
    <row r="16036" ht="13.5" hidden="1"/>
    <row r="16037" ht="13.5" hidden="1"/>
    <row r="16038" ht="13.5" hidden="1"/>
    <row r="16039" ht="13.5" hidden="1"/>
    <row r="16040" ht="13.5" hidden="1"/>
    <row r="16041" ht="13.5" hidden="1"/>
    <row r="16042" ht="13.5" hidden="1"/>
    <row r="16043" ht="13.5" hidden="1"/>
    <row r="16044" ht="13.5" hidden="1"/>
    <row r="16045" ht="13.5" hidden="1"/>
    <row r="16046" ht="13.5" hidden="1"/>
    <row r="16047" ht="13.5" hidden="1"/>
    <row r="16048" ht="13.5" hidden="1"/>
    <row r="16049" ht="13.5" hidden="1"/>
    <row r="16050" ht="13.5" hidden="1"/>
    <row r="16051" ht="13.5" hidden="1"/>
    <row r="16052" ht="13.5" hidden="1"/>
    <row r="16053" ht="13.5" hidden="1"/>
    <row r="16054" ht="13.5" hidden="1"/>
    <row r="16055" ht="13.5" hidden="1"/>
    <row r="16056" ht="13.5" hidden="1"/>
    <row r="16057" ht="13.5" hidden="1"/>
    <row r="16058" ht="13.5" hidden="1"/>
    <row r="16059" ht="13.5" hidden="1"/>
    <row r="16060" ht="13.5" hidden="1"/>
    <row r="16061" ht="13.5" hidden="1"/>
    <row r="16062" ht="13.5" hidden="1"/>
    <row r="16063" ht="13.5" hidden="1"/>
    <row r="16064" ht="13.5" hidden="1"/>
    <row r="16065" ht="13.5" hidden="1"/>
    <row r="16066" ht="13.5" hidden="1"/>
    <row r="16067" ht="13.5" hidden="1"/>
    <row r="16068" ht="13.5" hidden="1"/>
    <row r="16069" ht="13.5" hidden="1"/>
    <row r="16070" ht="13.5" hidden="1"/>
    <row r="16071" ht="13.5" hidden="1"/>
    <row r="16072" ht="13.5" hidden="1"/>
    <row r="16073" ht="13.5" hidden="1"/>
    <row r="16074" ht="13.5" hidden="1"/>
    <row r="16075" ht="13.5" hidden="1"/>
    <row r="16076" ht="13.5" hidden="1"/>
    <row r="16077" ht="13.5" hidden="1"/>
    <row r="16078" ht="13.5" hidden="1"/>
    <row r="16079" ht="13.5" hidden="1"/>
    <row r="16080" ht="13.5" hidden="1"/>
    <row r="16081" ht="13.5" hidden="1"/>
    <row r="16082" ht="13.5" hidden="1"/>
    <row r="16083" ht="13.5" hidden="1"/>
    <row r="16084" ht="13.5" hidden="1"/>
    <row r="16085" ht="13.5" hidden="1"/>
    <row r="16086" ht="13.5" hidden="1"/>
    <row r="16087" ht="13.5" hidden="1"/>
    <row r="16088" ht="13.5" hidden="1"/>
    <row r="16089" ht="13.5" hidden="1"/>
    <row r="16090" ht="13.5" hidden="1"/>
    <row r="16091" ht="13.5" hidden="1"/>
    <row r="16092" ht="13.5" hidden="1"/>
    <row r="16093" ht="13.5" hidden="1"/>
    <row r="16094" ht="13.5" hidden="1"/>
    <row r="16095" ht="13.5" hidden="1"/>
    <row r="16096" ht="13.5" hidden="1"/>
    <row r="16097" ht="13.5" hidden="1"/>
    <row r="16098" ht="13.5" hidden="1"/>
    <row r="16099" ht="13.5" hidden="1"/>
    <row r="16100" ht="13.5" hidden="1"/>
    <row r="16101" ht="13.5" hidden="1"/>
    <row r="16102" ht="13.5" hidden="1"/>
    <row r="16103" ht="13.5" hidden="1"/>
    <row r="16104" ht="13.5" hidden="1"/>
    <row r="16105" ht="13.5" hidden="1"/>
    <row r="16106" ht="13.5" hidden="1"/>
    <row r="16107" ht="13.5" hidden="1"/>
    <row r="16108" ht="13.5" hidden="1"/>
    <row r="16109" ht="13.5" hidden="1"/>
    <row r="16110" ht="13.5" hidden="1"/>
    <row r="16111" ht="13.5" hidden="1"/>
    <row r="16112" ht="13.5" hidden="1"/>
    <row r="16113" ht="13.5" hidden="1"/>
    <row r="16114" ht="13.5" hidden="1"/>
    <row r="16115" ht="13.5" hidden="1"/>
    <row r="16116" ht="13.5" hidden="1"/>
    <row r="16117" ht="13.5" hidden="1"/>
    <row r="16118" ht="13.5" hidden="1"/>
    <row r="16119" ht="13.5" hidden="1"/>
    <row r="16120" ht="13.5" hidden="1"/>
    <row r="16121" ht="13.5" hidden="1"/>
    <row r="16122" ht="13.5" hidden="1"/>
    <row r="16123" ht="13.5" hidden="1"/>
    <row r="16124" ht="13.5" hidden="1"/>
    <row r="16125" ht="13.5" hidden="1"/>
    <row r="16126" ht="13.5" hidden="1"/>
    <row r="16127" ht="13.5" hidden="1"/>
    <row r="16128" ht="13.5" hidden="1"/>
    <row r="16129" ht="13.5" hidden="1"/>
    <row r="16130" ht="13.5" hidden="1"/>
    <row r="16131" ht="13.5" hidden="1"/>
    <row r="16132" ht="13.5" hidden="1"/>
    <row r="16133" ht="13.5" hidden="1"/>
    <row r="16134" ht="13.5" hidden="1"/>
    <row r="16135" ht="13.5" hidden="1"/>
    <row r="16136" ht="13.5" hidden="1"/>
    <row r="16137" ht="13.5" hidden="1"/>
    <row r="16138" ht="13.5" hidden="1"/>
    <row r="16139" ht="13.5" hidden="1"/>
    <row r="16140" ht="13.5" hidden="1"/>
    <row r="16141" ht="13.5" hidden="1"/>
    <row r="16142" ht="13.5" hidden="1"/>
    <row r="16143" ht="13.5" hidden="1"/>
    <row r="16144" ht="13.5" hidden="1"/>
    <row r="16145" ht="13.5" hidden="1"/>
    <row r="16146" ht="13.5" hidden="1"/>
    <row r="16147" ht="13.5" hidden="1"/>
    <row r="16148" ht="13.5" hidden="1"/>
    <row r="16149" ht="13.5" hidden="1"/>
    <row r="16150" ht="13.5" hidden="1"/>
    <row r="16151" ht="13.5" hidden="1"/>
    <row r="16152" ht="13.5" hidden="1"/>
    <row r="16153" ht="13.5" hidden="1"/>
    <row r="16154" ht="13.5" hidden="1"/>
    <row r="16155" ht="13.5" hidden="1"/>
    <row r="16156" ht="13.5" hidden="1"/>
    <row r="16157" ht="13.5" hidden="1"/>
    <row r="16158" ht="13.5" hidden="1"/>
    <row r="16159" ht="13.5" hidden="1"/>
    <row r="16160" ht="13.5" hidden="1"/>
    <row r="16161" ht="13.5" hidden="1"/>
    <row r="16162" ht="13.5" hidden="1"/>
    <row r="16163" ht="13.5" hidden="1"/>
    <row r="16164" ht="13.5" hidden="1"/>
    <row r="16165" ht="13.5" hidden="1"/>
    <row r="16166" ht="13.5" hidden="1"/>
    <row r="16167" ht="13.5" hidden="1"/>
    <row r="16168" ht="13.5" hidden="1"/>
    <row r="16169" ht="13.5" hidden="1"/>
    <row r="16170" ht="13.5" hidden="1"/>
    <row r="16171" ht="13.5" hidden="1"/>
    <row r="16172" ht="13.5" hidden="1"/>
    <row r="16173" ht="13.5" hidden="1"/>
    <row r="16174" ht="13.5" hidden="1"/>
    <row r="16175" ht="13.5" hidden="1"/>
    <row r="16176" ht="13.5" hidden="1"/>
    <row r="16177" ht="13.5" hidden="1"/>
    <row r="16178" ht="13.5" hidden="1"/>
    <row r="16179" ht="13.5" hidden="1"/>
    <row r="16180" ht="13.5" hidden="1"/>
    <row r="16181" ht="13.5" hidden="1"/>
    <row r="16182" ht="13.5" hidden="1"/>
    <row r="16183" ht="13.5" hidden="1"/>
    <row r="16184" ht="13.5" hidden="1"/>
    <row r="16185" ht="13.5" hidden="1"/>
    <row r="16186" ht="13.5" hidden="1"/>
    <row r="16187" ht="13.5" hidden="1"/>
    <row r="16188" ht="13.5" hidden="1"/>
    <row r="16189" ht="13.5" hidden="1"/>
    <row r="16190" ht="13.5" hidden="1"/>
    <row r="16191" ht="13.5" hidden="1"/>
    <row r="16192" ht="13.5" hidden="1"/>
    <row r="16193" ht="13.5" hidden="1"/>
    <row r="16194" ht="13.5" hidden="1"/>
    <row r="16195" ht="13.5" hidden="1"/>
    <row r="16196" ht="13.5" hidden="1"/>
    <row r="16197" ht="13.5" hidden="1"/>
    <row r="16198" ht="13.5" hidden="1"/>
    <row r="16199" ht="13.5" hidden="1"/>
    <row r="16200" ht="13.5" hidden="1"/>
    <row r="16201" ht="13.5" hidden="1"/>
    <row r="16202" ht="13.5" hidden="1"/>
    <row r="16203" ht="13.5" hidden="1"/>
    <row r="16204" ht="13.5" hidden="1"/>
    <row r="16205" ht="13.5" hidden="1"/>
    <row r="16206" ht="13.5" hidden="1"/>
    <row r="16207" ht="13.5" hidden="1"/>
    <row r="16208" ht="13.5" hidden="1"/>
    <row r="16209" ht="13.5" hidden="1"/>
    <row r="16210" ht="13.5" hidden="1"/>
    <row r="16211" ht="13.5" hidden="1"/>
    <row r="16212" ht="13.5" hidden="1"/>
    <row r="16213" ht="13.5" hidden="1"/>
    <row r="16214" ht="13.5" hidden="1"/>
    <row r="16215" ht="13.5" hidden="1"/>
    <row r="16216" ht="13.5" hidden="1"/>
    <row r="16217" ht="13.5" hidden="1"/>
    <row r="16218" ht="13.5" hidden="1"/>
    <row r="16219" ht="13.5" hidden="1"/>
    <row r="16220" ht="13.5" hidden="1"/>
    <row r="16221" ht="13.5" hidden="1"/>
    <row r="16222" ht="13.5" hidden="1"/>
    <row r="16223" ht="13.5" hidden="1"/>
    <row r="16224" ht="13.5" hidden="1"/>
    <row r="16225" ht="13.5" hidden="1"/>
    <row r="16226" ht="13.5" hidden="1"/>
    <row r="16227" ht="13.5" hidden="1"/>
    <row r="16228" ht="13.5" hidden="1"/>
    <row r="16229" ht="13.5" hidden="1"/>
    <row r="16230" ht="13.5" hidden="1"/>
    <row r="16231" ht="13.5" hidden="1"/>
    <row r="16232" ht="13.5" hidden="1"/>
    <row r="16233" ht="13.5" hidden="1"/>
    <row r="16234" ht="13.5" hidden="1"/>
    <row r="16235" ht="13.5" hidden="1"/>
    <row r="16236" ht="13.5" hidden="1"/>
    <row r="16237" ht="13.5" hidden="1"/>
    <row r="16238" ht="13.5" hidden="1"/>
    <row r="16239" ht="13.5" hidden="1"/>
    <row r="16240" ht="13.5" hidden="1"/>
    <row r="16241" ht="13.5" hidden="1"/>
    <row r="16242" ht="13.5" hidden="1"/>
    <row r="16243" ht="13.5" hidden="1"/>
    <row r="16244" ht="13.5" hidden="1"/>
    <row r="16245" ht="13.5" hidden="1"/>
    <row r="16246" ht="13.5" hidden="1"/>
    <row r="16247" ht="13.5" hidden="1"/>
    <row r="16248" ht="13.5" hidden="1"/>
    <row r="16249" ht="13.5" hidden="1"/>
    <row r="16250" ht="13.5" hidden="1"/>
    <row r="16251" ht="13.5" hidden="1"/>
    <row r="16252" ht="13.5" hidden="1"/>
    <row r="16253" ht="13.5" hidden="1"/>
    <row r="16254" ht="13.5" hidden="1"/>
    <row r="16255" ht="13.5" hidden="1"/>
    <row r="16256" ht="13.5" hidden="1"/>
    <row r="16257" ht="13.5" hidden="1"/>
    <row r="16258" ht="13.5" hidden="1"/>
    <row r="16259" ht="13.5" hidden="1"/>
    <row r="16260" ht="13.5" hidden="1"/>
    <row r="16261" ht="13.5" hidden="1"/>
    <row r="16262" ht="13.5" hidden="1"/>
    <row r="16263" ht="13.5" hidden="1"/>
    <row r="16264" ht="13.5" hidden="1"/>
    <row r="16265" ht="13.5" hidden="1"/>
    <row r="16266" ht="13.5" hidden="1"/>
    <row r="16267" ht="13.5" hidden="1"/>
    <row r="16268" ht="13.5" hidden="1"/>
    <row r="16269" ht="13.5" hidden="1"/>
    <row r="16270" ht="13.5" hidden="1"/>
    <row r="16271" ht="13.5" hidden="1"/>
    <row r="16272" ht="13.5" hidden="1"/>
    <row r="16273" ht="13.5" hidden="1"/>
    <row r="16274" ht="13.5" hidden="1"/>
    <row r="16275" ht="13.5" hidden="1"/>
    <row r="16276" ht="13.5" hidden="1"/>
    <row r="16277" ht="13.5" hidden="1"/>
    <row r="16278" ht="13.5" hidden="1"/>
    <row r="16279" ht="13.5" hidden="1"/>
    <row r="16280" ht="13.5" hidden="1"/>
    <row r="16281" ht="13.5" hidden="1"/>
    <row r="16282" ht="13.5" hidden="1"/>
    <row r="16283" ht="13.5" hidden="1"/>
    <row r="16284" ht="13.5" hidden="1"/>
    <row r="16285" ht="13.5" hidden="1"/>
    <row r="16286" ht="13.5" hidden="1"/>
    <row r="16287" ht="13.5" hidden="1"/>
    <row r="16288" ht="13.5" hidden="1"/>
    <row r="16289" ht="13.5" hidden="1"/>
    <row r="16290" ht="13.5" hidden="1"/>
    <row r="16291" ht="13.5" hidden="1"/>
    <row r="16292" ht="13.5" hidden="1"/>
    <row r="16293" ht="13.5" hidden="1"/>
    <row r="16294" ht="13.5" hidden="1"/>
    <row r="16295" ht="13.5" hidden="1"/>
    <row r="16296" ht="13.5" hidden="1"/>
    <row r="16297" ht="13.5" hidden="1"/>
    <row r="16298" ht="13.5" hidden="1"/>
    <row r="16299" ht="13.5" hidden="1"/>
    <row r="16300" ht="13.5" hidden="1"/>
    <row r="16301" ht="13.5" hidden="1"/>
    <row r="16302" ht="13.5" hidden="1"/>
    <row r="16303" ht="13.5" hidden="1"/>
    <row r="16304" ht="13.5" hidden="1"/>
    <row r="16305" ht="13.5" hidden="1"/>
    <row r="16306" ht="13.5" hidden="1"/>
    <row r="16307" ht="13.5" hidden="1"/>
    <row r="16308" ht="13.5" hidden="1"/>
    <row r="16309" ht="13.5" hidden="1"/>
    <row r="16310" ht="13.5" hidden="1"/>
    <row r="16311" ht="13.5" hidden="1"/>
    <row r="16312" ht="13.5" hidden="1"/>
    <row r="16313" ht="13.5" hidden="1"/>
    <row r="16314" ht="13.5" hidden="1"/>
    <row r="16315" ht="13.5" hidden="1"/>
    <row r="16316" ht="13.5" hidden="1"/>
    <row r="16317" ht="13.5" hidden="1"/>
    <row r="16318" ht="13.5" hidden="1"/>
    <row r="16319" ht="13.5" hidden="1"/>
    <row r="16320" ht="13.5" hidden="1"/>
    <row r="16321" ht="13.5" hidden="1"/>
    <row r="16322" ht="13.5" hidden="1"/>
    <row r="16323" ht="13.5" hidden="1"/>
    <row r="16324" ht="13.5" hidden="1"/>
    <row r="16325" ht="13.5" hidden="1"/>
    <row r="16326" ht="13.5" hidden="1"/>
    <row r="16327" ht="13.5" hidden="1"/>
    <row r="16328" ht="13.5" hidden="1"/>
    <row r="16329" ht="13.5" hidden="1"/>
    <row r="16330" ht="13.5" hidden="1"/>
    <row r="16331" ht="13.5" hidden="1"/>
    <row r="16332" ht="13.5" hidden="1"/>
    <row r="16333" ht="13.5" hidden="1"/>
    <row r="16334" ht="13.5" hidden="1"/>
    <row r="16335" ht="13.5" hidden="1"/>
    <row r="16336" ht="13.5" hidden="1"/>
    <row r="16337" ht="13.5" hidden="1"/>
    <row r="16338" ht="13.5" hidden="1"/>
    <row r="16339" ht="13.5" hidden="1"/>
    <row r="16340" ht="13.5" hidden="1"/>
    <row r="16341" ht="13.5" hidden="1"/>
    <row r="16342" ht="13.5" hidden="1"/>
    <row r="16343" ht="13.5" hidden="1"/>
    <row r="16344" ht="13.5" hidden="1"/>
    <row r="16345" ht="13.5" hidden="1"/>
    <row r="16346" ht="13.5" hidden="1"/>
    <row r="16347" ht="13.5" hidden="1"/>
    <row r="16348" ht="13.5" hidden="1"/>
    <row r="16349" ht="13.5" hidden="1"/>
    <row r="16350" ht="13.5" hidden="1"/>
    <row r="16351" ht="13.5" hidden="1"/>
    <row r="16352" ht="13.5" hidden="1"/>
    <row r="16353" ht="13.5" hidden="1"/>
    <row r="16354" ht="13.5" hidden="1"/>
    <row r="16355" ht="13.5" hidden="1"/>
    <row r="16356" ht="13.5" hidden="1"/>
    <row r="16357" ht="13.5" hidden="1"/>
    <row r="16358" ht="13.5" hidden="1"/>
    <row r="16359" ht="13.5" hidden="1"/>
    <row r="16360" ht="13.5" hidden="1"/>
    <row r="16361" ht="13.5" hidden="1"/>
    <row r="16362" ht="13.5" hidden="1"/>
    <row r="16363" ht="13.5" hidden="1"/>
    <row r="16364" ht="13.5" hidden="1"/>
    <row r="16365" ht="13.5" hidden="1"/>
    <row r="16366" ht="13.5" hidden="1"/>
    <row r="16367" ht="13.5" hidden="1"/>
    <row r="16368" ht="13.5" hidden="1"/>
    <row r="16369" ht="13.5" hidden="1"/>
    <row r="16370" ht="13.5" hidden="1"/>
    <row r="16371" ht="13.5" hidden="1"/>
    <row r="16372" ht="13.5" hidden="1"/>
    <row r="16373" ht="13.5" hidden="1"/>
    <row r="16374" ht="13.5" hidden="1"/>
    <row r="16375" ht="13.5" hidden="1"/>
    <row r="16376" ht="13.5" hidden="1"/>
    <row r="16377" ht="13.5" hidden="1"/>
    <row r="16378" ht="13.5" hidden="1"/>
    <row r="16379" ht="13.5" hidden="1"/>
    <row r="16380" ht="13.5" hidden="1"/>
    <row r="16381" ht="13.5" hidden="1"/>
    <row r="16382" ht="13.5" hidden="1"/>
    <row r="16383" ht="13.5" hidden="1"/>
    <row r="16384" ht="13.5" hidden="1"/>
    <row r="16385" ht="13.5" hidden="1"/>
    <row r="16386" ht="13.5" hidden="1"/>
    <row r="16387" ht="13.5" hidden="1"/>
    <row r="16388" ht="13.5" hidden="1"/>
    <row r="16389" ht="13.5" hidden="1"/>
    <row r="16390" ht="13.5" hidden="1"/>
    <row r="16391" ht="13.5" hidden="1"/>
    <row r="16392" ht="13.5" hidden="1"/>
    <row r="16393" ht="13.5" hidden="1"/>
    <row r="16394" ht="13.5" hidden="1"/>
    <row r="16395" ht="13.5" hidden="1"/>
    <row r="16396" ht="13.5" hidden="1"/>
    <row r="16397" ht="13.5" hidden="1"/>
    <row r="16398" ht="13.5" hidden="1"/>
    <row r="16399" ht="13.5" hidden="1"/>
    <row r="16400" ht="13.5" hidden="1"/>
    <row r="16401" ht="13.5" hidden="1"/>
    <row r="16402" ht="13.5" hidden="1"/>
    <row r="16403" ht="13.5" hidden="1"/>
    <row r="16404" ht="13.5" hidden="1"/>
    <row r="16405" ht="13.5" hidden="1"/>
    <row r="16406" ht="13.5" hidden="1"/>
    <row r="16407" ht="13.5" hidden="1"/>
    <row r="16408" ht="13.5" hidden="1"/>
    <row r="16409" ht="13.5" hidden="1"/>
    <row r="16410" ht="13.5" hidden="1"/>
    <row r="16411" ht="13.5" hidden="1"/>
    <row r="16412" ht="13.5" hidden="1"/>
    <row r="16413" ht="13.5" hidden="1"/>
    <row r="16414" ht="13.5" hidden="1"/>
    <row r="16415" ht="13.5" hidden="1"/>
    <row r="16416" ht="13.5" hidden="1"/>
    <row r="16417" ht="13.5" hidden="1"/>
    <row r="16418" ht="13.5" hidden="1"/>
    <row r="16419" ht="13.5" hidden="1"/>
    <row r="16420" ht="13.5" hidden="1"/>
    <row r="16421" ht="13.5" hidden="1"/>
    <row r="16422" ht="13.5" hidden="1"/>
    <row r="16423" ht="13.5" hidden="1"/>
    <row r="16424" ht="13.5" hidden="1"/>
    <row r="16425" ht="13.5" hidden="1"/>
    <row r="16426" ht="13.5" hidden="1"/>
    <row r="16427" ht="13.5" hidden="1"/>
    <row r="16428" ht="13.5" hidden="1"/>
    <row r="16429" ht="13.5" hidden="1"/>
    <row r="16430" ht="13.5" hidden="1"/>
    <row r="16431" ht="13.5" hidden="1"/>
    <row r="16432" ht="13.5" hidden="1"/>
    <row r="16433" ht="13.5" hidden="1"/>
    <row r="16434" ht="13.5" hidden="1"/>
    <row r="16435" ht="13.5" hidden="1"/>
    <row r="16436" ht="13.5" hidden="1"/>
    <row r="16437" ht="13.5" hidden="1"/>
    <row r="16438" ht="13.5" hidden="1"/>
    <row r="16439" ht="13.5" hidden="1"/>
    <row r="16440" ht="13.5" hidden="1"/>
    <row r="16441" ht="13.5" hidden="1"/>
    <row r="16442" ht="13.5" hidden="1"/>
    <row r="16443" ht="13.5" hidden="1"/>
    <row r="16444" ht="13.5" hidden="1"/>
    <row r="16445" ht="13.5" hidden="1"/>
    <row r="16446" ht="13.5" hidden="1"/>
    <row r="16447" ht="13.5" hidden="1"/>
    <row r="16448" ht="13.5" hidden="1"/>
    <row r="16449" ht="13.5" hidden="1"/>
    <row r="16450" ht="13.5" hidden="1"/>
    <row r="16451" ht="13.5" hidden="1"/>
    <row r="16452" ht="13.5" hidden="1"/>
    <row r="16453" ht="13.5" hidden="1"/>
    <row r="16454" ht="13.5" hidden="1"/>
    <row r="16455" ht="13.5" hidden="1"/>
    <row r="16456" ht="13.5" hidden="1"/>
    <row r="16457" ht="13.5" hidden="1"/>
    <row r="16458" ht="13.5" hidden="1"/>
    <row r="16459" ht="13.5" hidden="1"/>
    <row r="16460" ht="13.5" hidden="1"/>
    <row r="16461" ht="13.5" hidden="1"/>
    <row r="16462" ht="13.5" hidden="1"/>
    <row r="16463" ht="13.5" hidden="1"/>
    <row r="16464" ht="13.5" hidden="1"/>
    <row r="16465" ht="13.5" hidden="1"/>
    <row r="16466" ht="13.5" hidden="1"/>
    <row r="16467" ht="13.5" hidden="1"/>
    <row r="16468" ht="13.5" hidden="1"/>
    <row r="16469" ht="13.5" hidden="1"/>
    <row r="16470" ht="13.5" hidden="1"/>
    <row r="16471" ht="13.5" hidden="1"/>
    <row r="16472" ht="13.5" hidden="1"/>
    <row r="16473" ht="13.5" hidden="1"/>
    <row r="16474" ht="13.5" hidden="1"/>
    <row r="16475" ht="13.5" hidden="1"/>
    <row r="16476" ht="13.5" hidden="1"/>
    <row r="16477" ht="13.5" hidden="1"/>
    <row r="16478" ht="13.5" hidden="1"/>
    <row r="16479" ht="13.5" hidden="1"/>
    <row r="16480" ht="13.5" hidden="1"/>
    <row r="16481" ht="13.5" hidden="1"/>
    <row r="16482" ht="13.5" hidden="1"/>
    <row r="16483" ht="13.5" hidden="1"/>
    <row r="16484" ht="13.5" hidden="1"/>
    <row r="16485" ht="13.5" hidden="1"/>
    <row r="16486" ht="13.5" hidden="1"/>
    <row r="16487" ht="13.5" hidden="1"/>
    <row r="16488" ht="13.5" hidden="1"/>
    <row r="16489" ht="13.5" hidden="1"/>
    <row r="16490" ht="13.5" hidden="1"/>
    <row r="16491" ht="13.5" hidden="1"/>
    <row r="16492" ht="13.5" hidden="1"/>
    <row r="16493" ht="13.5" hidden="1"/>
    <row r="16494" ht="13.5" hidden="1"/>
    <row r="16495" ht="13.5" hidden="1"/>
    <row r="16496" ht="13.5" hidden="1"/>
    <row r="16497" ht="13.5" hidden="1"/>
    <row r="16498" ht="13.5" hidden="1"/>
    <row r="16499" ht="13.5" hidden="1"/>
    <row r="16500" ht="13.5" hidden="1"/>
    <row r="16501" ht="13.5" hidden="1"/>
    <row r="16502" ht="13.5" hidden="1"/>
    <row r="16503" ht="13.5" hidden="1"/>
    <row r="16504" ht="13.5" hidden="1"/>
    <row r="16505" ht="13.5" hidden="1"/>
    <row r="16506" ht="13.5" hidden="1"/>
    <row r="16507" ht="13.5" hidden="1"/>
    <row r="16508" ht="13.5" hidden="1"/>
    <row r="16509" ht="13.5" hidden="1"/>
    <row r="16510" ht="13.5" hidden="1"/>
    <row r="16511" ht="13.5" hidden="1"/>
    <row r="16512" ht="13.5" hidden="1"/>
    <row r="16513" ht="13.5" hidden="1"/>
    <row r="16514" ht="13.5" hidden="1"/>
    <row r="16515" ht="13.5" hidden="1"/>
    <row r="16516" ht="13.5" hidden="1"/>
    <row r="16517" ht="13.5" hidden="1"/>
    <row r="16518" ht="13.5" hidden="1"/>
    <row r="16519" ht="13.5" hidden="1"/>
    <row r="16520" ht="13.5" hidden="1"/>
    <row r="16521" ht="13.5" hidden="1"/>
    <row r="16522" ht="13.5" hidden="1"/>
    <row r="16523" ht="13.5" hidden="1"/>
    <row r="16524" ht="13.5" hidden="1"/>
    <row r="16525" ht="13.5" hidden="1"/>
    <row r="16526" ht="13.5" hidden="1"/>
    <row r="16527" ht="13.5" hidden="1"/>
    <row r="16528" ht="13.5" hidden="1"/>
    <row r="16529" ht="13.5" hidden="1"/>
    <row r="16530" ht="13.5" hidden="1"/>
    <row r="16531" ht="13.5" hidden="1"/>
    <row r="16532" ht="13.5" hidden="1"/>
    <row r="16533" ht="13.5" hidden="1"/>
    <row r="16534" ht="13.5" hidden="1"/>
    <row r="16535" ht="13.5" hidden="1"/>
    <row r="16536" ht="13.5" hidden="1"/>
    <row r="16537" ht="13.5" hidden="1"/>
    <row r="16538" ht="13.5" hidden="1"/>
    <row r="16539" ht="13.5" hidden="1"/>
    <row r="16540" ht="13.5" hidden="1"/>
    <row r="16541" ht="13.5" hidden="1"/>
    <row r="16542" ht="13.5" hidden="1"/>
    <row r="16543" ht="13.5" hidden="1"/>
    <row r="16544" ht="13.5" hidden="1"/>
    <row r="16545" ht="13.5" hidden="1"/>
    <row r="16546" ht="13.5" hidden="1"/>
    <row r="16547" ht="13.5" hidden="1"/>
    <row r="16548" ht="13.5" hidden="1"/>
    <row r="16549" ht="13.5" hidden="1"/>
    <row r="16550" ht="13.5" hidden="1"/>
    <row r="16551" ht="13.5" hidden="1"/>
    <row r="16552" ht="13.5" hidden="1"/>
    <row r="16553" ht="13.5" hidden="1"/>
    <row r="16554" ht="13.5" hidden="1"/>
    <row r="16555" ht="13.5" hidden="1"/>
    <row r="16556" ht="13.5" hidden="1"/>
    <row r="16557" ht="13.5" hidden="1"/>
    <row r="16558" ht="13.5" hidden="1"/>
    <row r="16559" ht="13.5" hidden="1"/>
    <row r="16560" ht="13.5" hidden="1"/>
    <row r="16561" ht="13.5" hidden="1"/>
    <row r="16562" ht="13.5" hidden="1"/>
    <row r="16563" ht="13.5" hidden="1"/>
    <row r="16564" ht="13.5" hidden="1"/>
    <row r="16565" ht="13.5" hidden="1"/>
    <row r="16566" ht="13.5" hidden="1"/>
    <row r="16567" ht="13.5" hidden="1"/>
    <row r="16568" ht="13.5" hidden="1"/>
    <row r="16569" ht="13.5" hidden="1"/>
    <row r="16570" ht="13.5" hidden="1"/>
    <row r="16571" ht="13.5" hidden="1"/>
    <row r="16572" ht="13.5" hidden="1"/>
    <row r="16573" ht="13.5" hidden="1"/>
    <row r="16574" ht="13.5" hidden="1"/>
    <row r="16575" ht="13.5" hidden="1"/>
    <row r="16576" ht="13.5" hidden="1"/>
    <row r="16577" ht="13.5" hidden="1"/>
    <row r="16578" ht="13.5" hidden="1"/>
    <row r="16579" ht="13.5" hidden="1"/>
    <row r="16580" ht="13.5" hidden="1"/>
    <row r="16581" ht="13.5" hidden="1"/>
    <row r="16582" ht="13.5" hidden="1"/>
    <row r="16583" ht="13.5" hidden="1"/>
    <row r="16584" ht="13.5" hidden="1"/>
    <row r="16585" ht="13.5" hidden="1"/>
    <row r="16586" ht="13.5" hidden="1"/>
    <row r="16587" ht="13.5" hidden="1"/>
    <row r="16588" ht="13.5" hidden="1"/>
    <row r="16589" ht="13.5" hidden="1"/>
    <row r="16590" ht="13.5" hidden="1"/>
    <row r="16591" ht="13.5" hidden="1"/>
    <row r="16592" ht="13.5" hidden="1"/>
    <row r="16593" ht="13.5" hidden="1"/>
    <row r="16594" ht="13.5" hidden="1"/>
    <row r="16595" ht="13.5" hidden="1"/>
    <row r="16596" ht="13.5" hidden="1"/>
    <row r="16597" ht="13.5" hidden="1"/>
    <row r="16598" ht="13.5" hidden="1"/>
    <row r="16599" ht="13.5" hidden="1"/>
    <row r="16600" ht="13.5" hidden="1"/>
    <row r="16601" ht="13.5" hidden="1"/>
    <row r="16602" ht="13.5" hidden="1"/>
    <row r="16603" ht="13.5" hidden="1"/>
    <row r="16604" ht="13.5" hidden="1"/>
    <row r="16605" ht="13.5" hidden="1"/>
    <row r="16606" ht="13.5" hidden="1"/>
    <row r="16607" ht="13.5" hidden="1"/>
    <row r="16608" ht="13.5" hidden="1"/>
    <row r="16609" ht="13.5" hidden="1"/>
    <row r="16610" ht="13.5" hidden="1"/>
    <row r="16611" ht="13.5" hidden="1"/>
    <row r="16612" ht="13.5" hidden="1"/>
    <row r="16613" ht="13.5" hidden="1"/>
    <row r="16614" ht="13.5" hidden="1"/>
    <row r="16615" ht="13.5" hidden="1"/>
    <row r="16616" ht="13.5" hidden="1"/>
    <row r="16617" ht="13.5" hidden="1"/>
    <row r="16618" ht="13.5" hidden="1"/>
    <row r="16619" ht="13.5" hidden="1"/>
    <row r="16620" ht="13.5" hidden="1"/>
    <row r="16621" ht="13.5" hidden="1"/>
    <row r="16622" ht="13.5" hidden="1"/>
    <row r="16623" ht="13.5" hidden="1"/>
    <row r="16624" ht="13.5" hidden="1"/>
    <row r="16625" ht="13.5" hidden="1"/>
    <row r="16626" ht="13.5" hidden="1"/>
    <row r="16627" ht="13.5" hidden="1"/>
    <row r="16628" ht="13.5" hidden="1"/>
    <row r="16629" ht="13.5" hidden="1"/>
    <row r="16630" ht="13.5" hidden="1"/>
    <row r="16631" ht="13.5" hidden="1"/>
    <row r="16632" ht="13.5" hidden="1"/>
    <row r="16633" ht="13.5" hidden="1"/>
    <row r="16634" ht="13.5" hidden="1"/>
    <row r="16635" ht="13.5" hidden="1"/>
    <row r="16636" ht="13.5" hidden="1"/>
    <row r="16637" ht="13.5" hidden="1"/>
    <row r="16638" ht="13.5" hidden="1"/>
    <row r="16639" ht="13.5" hidden="1"/>
    <row r="16640" ht="13.5" hidden="1"/>
    <row r="16641" ht="13.5" hidden="1"/>
    <row r="16642" ht="13.5" hidden="1"/>
    <row r="16643" ht="13.5" hidden="1"/>
    <row r="16644" ht="13.5" hidden="1"/>
    <row r="16645" ht="13.5" hidden="1"/>
    <row r="16646" ht="13.5" hidden="1"/>
    <row r="16647" ht="13.5" hidden="1"/>
    <row r="16648" ht="13.5" hidden="1"/>
    <row r="16649" ht="13.5" hidden="1"/>
    <row r="16650" ht="13.5" hidden="1"/>
    <row r="16651" ht="13.5" hidden="1"/>
    <row r="16652" ht="13.5" hidden="1"/>
    <row r="16653" ht="13.5" hidden="1"/>
    <row r="16654" ht="13.5" hidden="1"/>
    <row r="16655" ht="13.5" hidden="1"/>
    <row r="16656" ht="13.5" hidden="1"/>
    <row r="16657" ht="13.5" hidden="1"/>
    <row r="16658" ht="13.5" hidden="1"/>
    <row r="16659" ht="13.5" hidden="1"/>
    <row r="16660" ht="13.5" hidden="1"/>
    <row r="16661" ht="13.5" hidden="1"/>
    <row r="16662" ht="13.5" hidden="1"/>
    <row r="16663" ht="13.5" hidden="1"/>
    <row r="16664" ht="13.5" hidden="1"/>
    <row r="16665" ht="13.5" hidden="1"/>
    <row r="16666" ht="13.5" hidden="1"/>
    <row r="16667" ht="13.5" hidden="1"/>
    <row r="16668" ht="13.5" hidden="1"/>
    <row r="16669" ht="13.5" hidden="1"/>
    <row r="16670" ht="13.5" hidden="1"/>
    <row r="16671" ht="13.5" hidden="1"/>
    <row r="16672" ht="13.5" hidden="1"/>
    <row r="16673" ht="13.5" hidden="1"/>
    <row r="16674" ht="13.5" hidden="1"/>
    <row r="16675" ht="13.5" hidden="1"/>
    <row r="16676" ht="13.5" hidden="1"/>
    <row r="16677" ht="13.5" hidden="1"/>
    <row r="16678" ht="13.5" hidden="1"/>
    <row r="16679" ht="13.5" hidden="1"/>
    <row r="16680" ht="13.5" hidden="1"/>
    <row r="16681" ht="13.5" hidden="1"/>
    <row r="16682" ht="13.5" hidden="1"/>
    <row r="16683" ht="13.5" hidden="1"/>
    <row r="16684" ht="13.5" hidden="1"/>
    <row r="16685" ht="13.5" hidden="1"/>
    <row r="16686" ht="13.5" hidden="1"/>
    <row r="16687" ht="13.5" hidden="1"/>
    <row r="16688" ht="13.5" hidden="1"/>
    <row r="16689" ht="13.5" hidden="1"/>
    <row r="16690" ht="13.5" hidden="1"/>
    <row r="16691" ht="13.5" hidden="1"/>
    <row r="16692" ht="13.5" hidden="1"/>
    <row r="16693" ht="13.5" hidden="1"/>
    <row r="16694" ht="13.5" hidden="1"/>
    <row r="16695" ht="13.5" hidden="1"/>
    <row r="16696" ht="13.5" hidden="1"/>
    <row r="16697" ht="13.5" hidden="1"/>
    <row r="16698" ht="13.5" hidden="1"/>
    <row r="16699" ht="13.5" hidden="1"/>
    <row r="16700" ht="13.5" hidden="1"/>
    <row r="16701" ht="13.5" hidden="1"/>
    <row r="16702" ht="13.5" hidden="1"/>
    <row r="16703" ht="13.5" hidden="1"/>
    <row r="16704" ht="13.5" hidden="1"/>
    <row r="16705" ht="13.5" hidden="1"/>
    <row r="16706" ht="13.5" hidden="1"/>
    <row r="16707" ht="13.5" hidden="1"/>
    <row r="16708" ht="13.5" hidden="1"/>
    <row r="16709" ht="13.5" hidden="1"/>
    <row r="16710" ht="13.5" hidden="1"/>
    <row r="16711" ht="13.5" hidden="1"/>
    <row r="16712" ht="13.5" hidden="1"/>
    <row r="16713" ht="13.5" hidden="1"/>
    <row r="16714" ht="13.5" hidden="1"/>
    <row r="16715" ht="13.5" hidden="1"/>
    <row r="16716" ht="13.5" hidden="1"/>
    <row r="16717" ht="13.5" hidden="1"/>
    <row r="16718" ht="13.5" hidden="1"/>
    <row r="16719" ht="13.5" hidden="1"/>
    <row r="16720" ht="13.5" hidden="1"/>
    <row r="16721" ht="13.5" hidden="1"/>
    <row r="16722" ht="13.5" hidden="1"/>
    <row r="16723" ht="13.5" hidden="1"/>
    <row r="16724" ht="13.5" hidden="1"/>
    <row r="16725" ht="13.5" hidden="1"/>
    <row r="16726" ht="13.5" hidden="1"/>
    <row r="16727" ht="13.5" hidden="1"/>
    <row r="16728" ht="13.5" hidden="1"/>
    <row r="16729" ht="13.5" hidden="1"/>
    <row r="16730" ht="13.5" hidden="1"/>
    <row r="16731" ht="13.5" hidden="1"/>
    <row r="16732" ht="13.5" hidden="1"/>
    <row r="16733" ht="13.5" hidden="1"/>
    <row r="16734" ht="13.5" hidden="1"/>
    <row r="16735" ht="13.5" hidden="1"/>
    <row r="16736" ht="13.5" hidden="1"/>
    <row r="16737" ht="13.5" hidden="1"/>
    <row r="16738" ht="13.5" hidden="1"/>
    <row r="16739" ht="13.5" hidden="1"/>
    <row r="16740" ht="13.5" hidden="1"/>
    <row r="16741" ht="13.5" hidden="1"/>
    <row r="16742" ht="13.5" hidden="1"/>
    <row r="16743" ht="13.5" hidden="1"/>
    <row r="16744" ht="13.5" hidden="1"/>
    <row r="16745" ht="13.5" hidden="1"/>
    <row r="16746" ht="13.5" hidden="1"/>
    <row r="16747" ht="13.5" hidden="1"/>
    <row r="16748" ht="13.5" hidden="1"/>
    <row r="16749" ht="13.5" hidden="1"/>
    <row r="16750" ht="13.5" hidden="1"/>
    <row r="16751" ht="13.5" hidden="1"/>
    <row r="16752" ht="13.5" hidden="1"/>
    <row r="16753" ht="13.5" hidden="1"/>
    <row r="16754" ht="13.5" hidden="1"/>
    <row r="16755" ht="13.5" hidden="1"/>
    <row r="16756" ht="13.5" hidden="1"/>
    <row r="16757" ht="13.5" hidden="1"/>
    <row r="16758" ht="13.5" hidden="1"/>
    <row r="16759" ht="13.5" hidden="1"/>
    <row r="16760" ht="13.5" hidden="1"/>
    <row r="16761" ht="13.5" hidden="1"/>
    <row r="16762" ht="13.5" hidden="1"/>
    <row r="16763" ht="13.5" hidden="1"/>
    <row r="16764" ht="13.5" hidden="1"/>
    <row r="16765" ht="13.5" hidden="1"/>
    <row r="16766" ht="13.5" hidden="1"/>
    <row r="16767" ht="13.5" hidden="1"/>
    <row r="16768" ht="13.5" hidden="1"/>
    <row r="16769" ht="13.5" hidden="1"/>
    <row r="16770" ht="13.5" hidden="1"/>
    <row r="16771" ht="13.5" hidden="1"/>
    <row r="16772" ht="13.5" hidden="1"/>
    <row r="16773" ht="13.5" hidden="1"/>
    <row r="16774" ht="13.5" hidden="1"/>
    <row r="16775" ht="13.5" hidden="1"/>
    <row r="16776" ht="13.5" hidden="1"/>
    <row r="16777" ht="13.5" hidden="1"/>
    <row r="16778" ht="13.5" hidden="1"/>
    <row r="16779" ht="13.5" hidden="1"/>
    <row r="16780" ht="13.5" hidden="1"/>
    <row r="16781" ht="13.5" hidden="1"/>
    <row r="16782" ht="13.5" hidden="1"/>
    <row r="16783" ht="13.5" hidden="1"/>
    <row r="16784" ht="13.5" hidden="1"/>
    <row r="16785" ht="13.5" hidden="1"/>
    <row r="16786" ht="13.5" hidden="1"/>
    <row r="16787" ht="13.5" hidden="1"/>
    <row r="16788" ht="13.5" hidden="1"/>
    <row r="16789" ht="13.5" hidden="1"/>
    <row r="16790" ht="13.5" hidden="1"/>
    <row r="16791" ht="13.5" hidden="1"/>
    <row r="16792" ht="13.5" hidden="1"/>
    <row r="16793" ht="13.5" hidden="1"/>
    <row r="16794" ht="13.5" hidden="1"/>
    <row r="16795" ht="13.5" hidden="1"/>
    <row r="16796" ht="13.5" hidden="1"/>
    <row r="16797" ht="13.5" hidden="1"/>
    <row r="16798" ht="13.5" hidden="1"/>
    <row r="16799" ht="13.5" hidden="1"/>
    <row r="16800" ht="13.5" hidden="1"/>
    <row r="16801" ht="13.5" hidden="1"/>
    <row r="16802" ht="13.5" hidden="1"/>
    <row r="16803" ht="13.5" hidden="1"/>
    <row r="16804" ht="13.5" hidden="1"/>
    <row r="16805" ht="13.5" hidden="1"/>
    <row r="16806" ht="13.5" hidden="1"/>
    <row r="16807" ht="13.5" hidden="1"/>
    <row r="16808" ht="13.5" hidden="1"/>
    <row r="16809" ht="13.5" hidden="1"/>
    <row r="16810" ht="13.5" hidden="1"/>
    <row r="16811" ht="13.5" hidden="1"/>
    <row r="16812" ht="13.5" hidden="1"/>
    <row r="16813" ht="13.5" hidden="1"/>
    <row r="16814" ht="13.5" hidden="1"/>
    <row r="16815" ht="13.5" hidden="1"/>
    <row r="16816" ht="13.5" hidden="1"/>
    <row r="16817" ht="13.5" hidden="1"/>
    <row r="16818" ht="13.5" hidden="1"/>
    <row r="16819" ht="13.5" hidden="1"/>
    <row r="16820" ht="13.5" hidden="1"/>
    <row r="16821" ht="13.5" hidden="1"/>
    <row r="16822" ht="13.5" hidden="1"/>
    <row r="16823" ht="13.5" hidden="1"/>
    <row r="16824" ht="13.5" hidden="1"/>
    <row r="16825" ht="13.5" hidden="1"/>
    <row r="16826" ht="13.5" hidden="1"/>
    <row r="16827" ht="13.5" hidden="1"/>
    <row r="16828" ht="13.5" hidden="1"/>
    <row r="16829" ht="13.5" hidden="1"/>
    <row r="16830" ht="13.5" hidden="1"/>
    <row r="16831" ht="13.5" hidden="1"/>
    <row r="16832" ht="13.5" hidden="1"/>
    <row r="16833" ht="13.5" hidden="1"/>
    <row r="16834" ht="13.5" hidden="1"/>
    <row r="16835" ht="13.5" hidden="1"/>
    <row r="16836" ht="13.5" hidden="1"/>
    <row r="16837" ht="13.5" hidden="1"/>
    <row r="16838" ht="13.5" hidden="1"/>
    <row r="16839" ht="13.5" hidden="1"/>
    <row r="16840" ht="13.5" hidden="1"/>
    <row r="16841" ht="13.5" hidden="1"/>
    <row r="16842" ht="13.5" hidden="1"/>
    <row r="16843" ht="13.5" hidden="1"/>
    <row r="16844" ht="13.5" hidden="1"/>
    <row r="16845" ht="13.5" hidden="1"/>
    <row r="16846" ht="13.5" hidden="1"/>
    <row r="16847" ht="13.5" hidden="1"/>
    <row r="16848" ht="13.5" hidden="1"/>
    <row r="16849" ht="13.5" hidden="1"/>
    <row r="16850" ht="13.5" hidden="1"/>
    <row r="16851" ht="13.5" hidden="1"/>
    <row r="16852" ht="13.5" hidden="1"/>
    <row r="16853" ht="13.5" hidden="1"/>
    <row r="16854" ht="13.5" hidden="1"/>
    <row r="16855" ht="13.5" hidden="1"/>
    <row r="16856" ht="13.5" hidden="1"/>
    <row r="16857" ht="13.5" hidden="1"/>
    <row r="16858" ht="13.5" hidden="1"/>
    <row r="16859" ht="13.5" hidden="1"/>
    <row r="16860" ht="13.5" hidden="1"/>
    <row r="16861" ht="13.5" hidden="1"/>
    <row r="16862" ht="13.5" hidden="1"/>
    <row r="16863" ht="13.5" hidden="1"/>
    <row r="16864" ht="13.5" hidden="1"/>
    <row r="16865" ht="13.5" hidden="1"/>
    <row r="16866" ht="13.5" hidden="1"/>
    <row r="16867" ht="13.5" hidden="1"/>
    <row r="16868" ht="13.5" hidden="1"/>
    <row r="16869" ht="13.5" hidden="1"/>
    <row r="16870" ht="13.5" hidden="1"/>
    <row r="16871" ht="13.5" hidden="1"/>
    <row r="16872" ht="13.5" hidden="1"/>
    <row r="16873" ht="13.5" hidden="1"/>
    <row r="16874" ht="13.5" hidden="1"/>
    <row r="16875" ht="13.5" hidden="1"/>
    <row r="16876" ht="13.5" hidden="1"/>
    <row r="16877" ht="13.5" hidden="1"/>
    <row r="16878" ht="13.5" hidden="1"/>
    <row r="16879" ht="13.5" hidden="1"/>
    <row r="16880" ht="13.5" hidden="1"/>
    <row r="16881" ht="13.5" hidden="1"/>
    <row r="16882" ht="13.5" hidden="1"/>
    <row r="16883" ht="13.5" hidden="1"/>
    <row r="16884" ht="13.5" hidden="1"/>
    <row r="16885" ht="13.5" hidden="1"/>
    <row r="16886" ht="13.5" hidden="1"/>
    <row r="16887" ht="13.5" hidden="1"/>
    <row r="16888" ht="13.5" hidden="1"/>
    <row r="16889" ht="13.5" hidden="1"/>
    <row r="16890" ht="13.5" hidden="1"/>
    <row r="16891" ht="13.5" hidden="1"/>
    <row r="16892" ht="13.5" hidden="1"/>
    <row r="16893" ht="13.5" hidden="1"/>
    <row r="16894" ht="13.5" hidden="1"/>
    <row r="16895" ht="13.5" hidden="1"/>
    <row r="16896" ht="13.5" hidden="1"/>
    <row r="16897" ht="13.5" hidden="1"/>
    <row r="16898" ht="13.5" hidden="1"/>
    <row r="16899" ht="13.5" hidden="1"/>
    <row r="16900" ht="13.5" hidden="1"/>
    <row r="16901" ht="13.5" hidden="1"/>
    <row r="16902" ht="13.5" hidden="1"/>
    <row r="16903" ht="13.5" hidden="1"/>
    <row r="16904" ht="13.5" hidden="1"/>
    <row r="16905" ht="13.5" hidden="1"/>
    <row r="16906" ht="13.5" hidden="1"/>
    <row r="16907" ht="13.5" hidden="1"/>
    <row r="16908" ht="13.5" hidden="1"/>
    <row r="16909" ht="13.5" hidden="1"/>
    <row r="16910" ht="13.5" hidden="1"/>
    <row r="16911" ht="13.5" hidden="1"/>
    <row r="16912" ht="13.5" hidden="1"/>
    <row r="16913" ht="13.5" hidden="1"/>
    <row r="16914" ht="13.5" hidden="1"/>
    <row r="16915" ht="13.5" hidden="1"/>
    <row r="16916" ht="13.5" hidden="1"/>
    <row r="16917" ht="13.5" hidden="1"/>
    <row r="16918" ht="13.5" hidden="1"/>
    <row r="16919" ht="13.5" hidden="1"/>
    <row r="16920" ht="13.5" hidden="1"/>
    <row r="16921" ht="13.5" hidden="1"/>
    <row r="16922" ht="13.5" hidden="1"/>
    <row r="16923" ht="13.5" hidden="1"/>
    <row r="16924" ht="13.5" hidden="1"/>
    <row r="16925" ht="13.5" hidden="1"/>
    <row r="16926" ht="13.5" hidden="1"/>
    <row r="16927" ht="13.5" hidden="1"/>
    <row r="16928" ht="13.5" hidden="1"/>
    <row r="16929" ht="13.5" hidden="1"/>
    <row r="16930" ht="13.5" hidden="1"/>
    <row r="16931" ht="13.5" hidden="1"/>
    <row r="16932" ht="13.5" hidden="1"/>
    <row r="16933" ht="13.5" hidden="1"/>
    <row r="16934" ht="13.5" hidden="1"/>
    <row r="16935" ht="13.5" hidden="1"/>
    <row r="16936" ht="13.5" hidden="1"/>
    <row r="16937" ht="13.5" hidden="1"/>
    <row r="16938" ht="13.5" hidden="1"/>
    <row r="16939" ht="13.5" hidden="1"/>
    <row r="16940" ht="13.5" hidden="1"/>
    <row r="16941" ht="13.5" hidden="1"/>
    <row r="16942" ht="13.5" hidden="1"/>
    <row r="16943" ht="13.5" hidden="1"/>
    <row r="16944" ht="13.5" hidden="1"/>
    <row r="16945" ht="13.5" hidden="1"/>
    <row r="16946" ht="13.5" hidden="1"/>
    <row r="16947" ht="13.5" hidden="1"/>
    <row r="16948" ht="13.5" hidden="1"/>
    <row r="16949" ht="13.5" hidden="1"/>
    <row r="16950" ht="13.5" hidden="1"/>
    <row r="16951" ht="13.5" hidden="1"/>
    <row r="16952" ht="13.5" hidden="1"/>
    <row r="16953" ht="13.5" hidden="1"/>
    <row r="16954" ht="13.5" hidden="1"/>
    <row r="16955" ht="13.5" hidden="1"/>
    <row r="16956" ht="13.5" hidden="1"/>
    <row r="16957" ht="13.5" hidden="1"/>
    <row r="16958" ht="13.5" hidden="1"/>
    <row r="16959" ht="13.5" hidden="1"/>
    <row r="16960" ht="13.5" hidden="1"/>
    <row r="16961" ht="13.5" hidden="1"/>
    <row r="16962" ht="13.5" hidden="1"/>
    <row r="16963" ht="13.5" hidden="1"/>
    <row r="16964" ht="13.5" hidden="1"/>
    <row r="16965" ht="13.5" hidden="1"/>
    <row r="16966" ht="13.5" hidden="1"/>
    <row r="16967" ht="13.5" hidden="1"/>
    <row r="16968" ht="13.5" hidden="1"/>
    <row r="16969" ht="13.5" hidden="1"/>
    <row r="16970" ht="13.5" hidden="1"/>
    <row r="16971" ht="13.5" hidden="1"/>
    <row r="16972" ht="13.5" hidden="1"/>
    <row r="16973" ht="13.5" hidden="1"/>
    <row r="16974" ht="13.5" hidden="1"/>
    <row r="16975" ht="13.5" hidden="1"/>
    <row r="16976" ht="13.5" hidden="1"/>
    <row r="16977" ht="13.5" hidden="1"/>
    <row r="16978" ht="13.5" hidden="1"/>
    <row r="16979" ht="13.5" hidden="1"/>
    <row r="16980" ht="13.5" hidden="1"/>
    <row r="16981" ht="13.5" hidden="1"/>
    <row r="16982" ht="13.5" hidden="1"/>
    <row r="16983" ht="13.5" hidden="1"/>
    <row r="16984" ht="13.5" hidden="1"/>
    <row r="16985" ht="13.5" hidden="1"/>
    <row r="16986" ht="13.5" hidden="1"/>
    <row r="16987" ht="13.5" hidden="1"/>
    <row r="16988" ht="13.5" hidden="1"/>
    <row r="16989" ht="13.5" hidden="1"/>
    <row r="16990" ht="13.5" hidden="1"/>
    <row r="16991" ht="13.5" hidden="1"/>
    <row r="16992" ht="13.5" hidden="1"/>
    <row r="16993" ht="13.5" hidden="1"/>
    <row r="16994" ht="13.5" hidden="1"/>
    <row r="16995" ht="13.5" hidden="1"/>
    <row r="16996" ht="13.5" hidden="1"/>
    <row r="16997" ht="13.5" hidden="1"/>
    <row r="16998" ht="13.5" hidden="1"/>
    <row r="16999" ht="13.5" hidden="1"/>
    <row r="17000" ht="13.5" hidden="1"/>
    <row r="17001" ht="13.5" hidden="1"/>
    <row r="17002" ht="13.5" hidden="1"/>
    <row r="17003" ht="13.5" hidden="1"/>
    <row r="17004" ht="13.5" hidden="1"/>
    <row r="17005" ht="13.5" hidden="1"/>
    <row r="17006" ht="13.5" hidden="1"/>
    <row r="17007" ht="13.5" hidden="1"/>
    <row r="17008" ht="13.5" hidden="1"/>
    <row r="17009" ht="13.5" hidden="1"/>
    <row r="17010" ht="13.5" hidden="1"/>
    <row r="17011" ht="13.5" hidden="1"/>
    <row r="17012" ht="13.5" hidden="1"/>
    <row r="17013" ht="13.5" hidden="1"/>
    <row r="17014" ht="13.5" hidden="1"/>
    <row r="17015" ht="13.5" hidden="1"/>
    <row r="17016" ht="13.5" hidden="1"/>
    <row r="17017" ht="13.5" hidden="1"/>
    <row r="17018" ht="13.5" hidden="1"/>
    <row r="17019" ht="13.5" hidden="1"/>
    <row r="17020" ht="13.5" hidden="1"/>
    <row r="17021" ht="13.5" hidden="1"/>
    <row r="17022" ht="13.5" hidden="1"/>
    <row r="17023" ht="13.5" hidden="1"/>
    <row r="17024" ht="13.5" hidden="1"/>
    <row r="17025" ht="13.5" hidden="1"/>
    <row r="17026" ht="13.5" hidden="1"/>
    <row r="17027" ht="13.5" hidden="1"/>
    <row r="17028" ht="13.5" hidden="1"/>
    <row r="17029" ht="13.5" hidden="1"/>
    <row r="17030" ht="13.5" hidden="1"/>
    <row r="17031" ht="13.5" hidden="1"/>
    <row r="17032" ht="13.5" hidden="1"/>
    <row r="17033" ht="13.5" hidden="1"/>
    <row r="17034" ht="13.5" hidden="1"/>
    <row r="17035" ht="13.5" hidden="1"/>
    <row r="17036" ht="13.5" hidden="1"/>
    <row r="17037" ht="13.5" hidden="1"/>
    <row r="17038" ht="13.5" hidden="1"/>
    <row r="17039" ht="13.5" hidden="1"/>
    <row r="17040" ht="13.5" hidden="1"/>
    <row r="17041" ht="13.5" hidden="1"/>
    <row r="17042" ht="13.5" hidden="1"/>
    <row r="17043" ht="13.5" hidden="1"/>
    <row r="17044" ht="13.5" hidden="1"/>
    <row r="17045" ht="13.5" hidden="1"/>
    <row r="17046" ht="13.5" hidden="1"/>
    <row r="17047" ht="13.5" hidden="1"/>
    <row r="17048" ht="13.5" hidden="1"/>
    <row r="17049" ht="13.5" hidden="1"/>
    <row r="17050" ht="13.5" hidden="1"/>
    <row r="17051" ht="13.5" hidden="1"/>
    <row r="17052" ht="13.5" hidden="1"/>
    <row r="17053" ht="13.5" hidden="1"/>
    <row r="17054" ht="13.5" hidden="1"/>
    <row r="17055" ht="13.5" hidden="1"/>
    <row r="17056" ht="13.5" hidden="1"/>
    <row r="17057" ht="13.5" hidden="1"/>
    <row r="17058" ht="13.5" hidden="1"/>
    <row r="17059" ht="13.5" hidden="1"/>
    <row r="17060" ht="13.5" hidden="1"/>
    <row r="17061" ht="13.5" hidden="1"/>
    <row r="17062" ht="13.5" hidden="1"/>
    <row r="17063" ht="13.5" hidden="1"/>
    <row r="17064" ht="13.5" hidden="1"/>
    <row r="17065" ht="13.5" hidden="1"/>
    <row r="17066" ht="13.5" hidden="1"/>
    <row r="17067" ht="13.5" hidden="1"/>
    <row r="17068" ht="13.5" hidden="1"/>
    <row r="17069" ht="13.5" hidden="1"/>
    <row r="17070" ht="13.5" hidden="1"/>
    <row r="17071" ht="13.5" hidden="1"/>
    <row r="17072" ht="13.5" hidden="1"/>
    <row r="17073" ht="13.5" hidden="1"/>
    <row r="17074" ht="13.5" hidden="1"/>
    <row r="17075" ht="13.5" hidden="1"/>
    <row r="17076" ht="13.5" hidden="1"/>
    <row r="17077" ht="13.5" hidden="1"/>
    <row r="17078" ht="13.5" hidden="1"/>
    <row r="17079" ht="13.5" hidden="1"/>
    <row r="17080" ht="13.5" hidden="1"/>
    <row r="17081" ht="13.5" hidden="1"/>
    <row r="17082" ht="13.5" hidden="1"/>
    <row r="17083" ht="13.5" hidden="1"/>
    <row r="17084" ht="13.5" hidden="1"/>
    <row r="17085" ht="13.5" hidden="1"/>
    <row r="17086" ht="13.5" hidden="1"/>
    <row r="17087" ht="13.5" hidden="1"/>
    <row r="17088" ht="13.5" hidden="1"/>
    <row r="17089" ht="13.5" hidden="1"/>
    <row r="17090" ht="13.5" hidden="1"/>
    <row r="17091" ht="13.5" hidden="1"/>
    <row r="17092" ht="13.5" hidden="1"/>
    <row r="17093" ht="13.5" hidden="1"/>
    <row r="17094" ht="13.5" hidden="1"/>
    <row r="17095" ht="13.5" hidden="1"/>
    <row r="17096" ht="13.5" hidden="1"/>
    <row r="17097" ht="13.5" hidden="1"/>
    <row r="17098" ht="13.5" hidden="1"/>
    <row r="17099" ht="13.5" hidden="1"/>
    <row r="17100" ht="13.5" hidden="1"/>
    <row r="17101" ht="13.5" hidden="1"/>
    <row r="17102" ht="13.5" hidden="1"/>
    <row r="17103" ht="13.5" hidden="1"/>
    <row r="17104" ht="13.5" hidden="1"/>
    <row r="17105" ht="13.5" hidden="1"/>
    <row r="17106" ht="13.5" hidden="1"/>
    <row r="17107" ht="13.5" hidden="1"/>
    <row r="17108" ht="13.5" hidden="1"/>
    <row r="17109" ht="13.5" hidden="1"/>
    <row r="17110" ht="13.5" hidden="1"/>
    <row r="17111" ht="13.5" hidden="1"/>
    <row r="17112" ht="13.5" hidden="1"/>
    <row r="17113" ht="13.5" hidden="1"/>
    <row r="17114" ht="13.5" hidden="1"/>
    <row r="17115" ht="13.5" hidden="1"/>
    <row r="17116" ht="13.5" hidden="1"/>
    <row r="17117" ht="13.5" hidden="1"/>
    <row r="17118" ht="13.5" hidden="1"/>
    <row r="17119" ht="13.5" hidden="1"/>
    <row r="17120" ht="13.5" hidden="1"/>
    <row r="17121" ht="13.5" hidden="1"/>
    <row r="17122" ht="13.5" hidden="1"/>
    <row r="17123" ht="13.5" hidden="1"/>
    <row r="17124" ht="13.5" hidden="1"/>
    <row r="17125" ht="13.5" hidden="1"/>
    <row r="17126" ht="13.5" hidden="1"/>
    <row r="17127" ht="13.5" hidden="1"/>
    <row r="17128" ht="13.5" hidden="1"/>
    <row r="17129" ht="13.5" hidden="1"/>
    <row r="17130" ht="13.5" hidden="1"/>
    <row r="17131" ht="13.5" hidden="1"/>
    <row r="17132" ht="13.5" hidden="1"/>
    <row r="17133" ht="13.5" hidden="1"/>
    <row r="17134" ht="13.5" hidden="1"/>
    <row r="17135" ht="13.5" hidden="1"/>
    <row r="17136" ht="13.5" hidden="1"/>
    <row r="17137" ht="13.5" hidden="1"/>
    <row r="17138" ht="13.5" hidden="1"/>
    <row r="17139" ht="13.5" hidden="1"/>
    <row r="17140" ht="13.5" hidden="1"/>
    <row r="17141" ht="13.5" hidden="1"/>
    <row r="17142" ht="13.5" hidden="1"/>
    <row r="17143" ht="13.5" hidden="1"/>
    <row r="17144" ht="13.5" hidden="1"/>
    <row r="17145" ht="13.5" hidden="1"/>
    <row r="17146" ht="13.5" hidden="1"/>
    <row r="17147" ht="13.5" hidden="1"/>
    <row r="17148" ht="13.5" hidden="1"/>
    <row r="17149" ht="13.5" hidden="1"/>
    <row r="17150" ht="13.5" hidden="1"/>
    <row r="17151" ht="13.5" hidden="1"/>
    <row r="17152" ht="13.5" hidden="1"/>
    <row r="17153" ht="13.5" hidden="1"/>
    <row r="17154" ht="13.5" hidden="1"/>
    <row r="17155" ht="13.5" hidden="1"/>
    <row r="17156" ht="13.5" hidden="1"/>
    <row r="17157" ht="13.5" hidden="1"/>
    <row r="17158" ht="13.5" hidden="1"/>
    <row r="17159" ht="13.5" hidden="1"/>
    <row r="17160" ht="13.5" hidden="1"/>
    <row r="17161" ht="13.5" hidden="1"/>
    <row r="17162" ht="13.5" hidden="1"/>
    <row r="17163" ht="13.5" hidden="1"/>
    <row r="17164" ht="13.5" hidden="1"/>
    <row r="17165" ht="13.5" hidden="1"/>
    <row r="17166" ht="13.5" hidden="1"/>
    <row r="17167" ht="13.5" hidden="1"/>
    <row r="17168" ht="13.5" hidden="1"/>
    <row r="17169" ht="13.5" hidden="1"/>
    <row r="17170" ht="13.5" hidden="1"/>
    <row r="17171" ht="13.5" hidden="1"/>
    <row r="17172" ht="13.5" hidden="1"/>
    <row r="17173" ht="13.5" hidden="1"/>
    <row r="17174" ht="13.5" hidden="1"/>
    <row r="17175" ht="13.5" hidden="1"/>
    <row r="17176" ht="13.5" hidden="1"/>
    <row r="17177" ht="13.5" hidden="1"/>
    <row r="17178" ht="13.5" hidden="1"/>
    <row r="17179" ht="13.5" hidden="1"/>
    <row r="17180" ht="13.5" hidden="1"/>
    <row r="17181" ht="13.5" hidden="1"/>
    <row r="17182" ht="13.5" hidden="1"/>
    <row r="17183" ht="13.5" hidden="1"/>
    <row r="17184" ht="13.5" hidden="1"/>
    <row r="17185" ht="13.5" hidden="1"/>
    <row r="17186" ht="13.5" hidden="1"/>
    <row r="17187" ht="13.5" hidden="1"/>
    <row r="17188" ht="13.5" hidden="1"/>
    <row r="17189" ht="13.5" hidden="1"/>
    <row r="17190" ht="13.5" hidden="1"/>
    <row r="17191" ht="13.5" hidden="1"/>
    <row r="17192" ht="13.5" hidden="1"/>
    <row r="17193" ht="13.5" hidden="1"/>
    <row r="17194" ht="13.5" hidden="1"/>
    <row r="17195" ht="13.5" hidden="1"/>
    <row r="17196" ht="13.5" hidden="1"/>
    <row r="17197" ht="13.5" hidden="1"/>
    <row r="17198" ht="13.5" hidden="1"/>
    <row r="17199" ht="13.5" hidden="1"/>
    <row r="17200" ht="13.5" hidden="1"/>
    <row r="17201" ht="13.5" hidden="1"/>
    <row r="17202" ht="13.5" hidden="1"/>
    <row r="17203" ht="13.5" hidden="1"/>
    <row r="17204" ht="13.5" hidden="1"/>
    <row r="17205" ht="13.5" hidden="1"/>
    <row r="17206" ht="13.5" hidden="1"/>
    <row r="17207" ht="13.5" hidden="1"/>
    <row r="17208" ht="13.5" hidden="1"/>
    <row r="17209" ht="13.5" hidden="1"/>
    <row r="17210" ht="13.5" hidden="1"/>
    <row r="17211" ht="13.5" hidden="1"/>
    <row r="17212" ht="13.5" hidden="1"/>
    <row r="17213" ht="13.5" hidden="1"/>
    <row r="17214" ht="13.5" hidden="1"/>
    <row r="17215" ht="13.5" hidden="1"/>
    <row r="17216" ht="13.5" hidden="1"/>
    <row r="17217" ht="13.5" hidden="1"/>
    <row r="17218" ht="13.5" hidden="1"/>
    <row r="17219" ht="13.5" hidden="1"/>
    <row r="17220" ht="13.5" hidden="1"/>
    <row r="17221" ht="13.5" hidden="1"/>
    <row r="17222" ht="13.5" hidden="1"/>
    <row r="17223" ht="13.5" hidden="1"/>
    <row r="17224" ht="13.5" hidden="1"/>
    <row r="17225" ht="13.5" hidden="1"/>
    <row r="17226" ht="13.5" hidden="1"/>
    <row r="17227" ht="13.5" hidden="1"/>
    <row r="17228" ht="13.5" hidden="1"/>
    <row r="17229" ht="13.5" hidden="1"/>
    <row r="17230" ht="13.5" hidden="1"/>
    <row r="17231" ht="13.5" hidden="1"/>
    <row r="17232" ht="13.5" hidden="1"/>
    <row r="17233" ht="13.5" hidden="1"/>
    <row r="17234" ht="13.5" hidden="1"/>
    <row r="17235" ht="13.5" hidden="1"/>
    <row r="17236" ht="13.5" hidden="1"/>
    <row r="17237" ht="13.5" hidden="1"/>
    <row r="17238" ht="13.5" hidden="1"/>
    <row r="17239" ht="13.5" hidden="1"/>
    <row r="17240" ht="13.5" hidden="1"/>
    <row r="17241" ht="13.5" hidden="1"/>
    <row r="17242" ht="13.5" hidden="1"/>
    <row r="17243" ht="13.5" hidden="1"/>
    <row r="17244" ht="13.5" hidden="1"/>
    <row r="17245" ht="13.5" hidden="1"/>
    <row r="17246" ht="13.5" hidden="1"/>
    <row r="17247" ht="13.5" hidden="1"/>
    <row r="17248" ht="13.5" hidden="1"/>
    <row r="17249" ht="13.5" hidden="1"/>
    <row r="17250" ht="13.5" hidden="1"/>
    <row r="17251" ht="13.5" hidden="1"/>
    <row r="17252" ht="13.5" hidden="1"/>
    <row r="17253" ht="13.5" hidden="1"/>
    <row r="17254" ht="13.5" hidden="1"/>
    <row r="17255" ht="13.5" hidden="1"/>
    <row r="17256" ht="13.5" hidden="1"/>
    <row r="17257" ht="13.5" hidden="1"/>
    <row r="17258" ht="13.5" hidden="1"/>
    <row r="17259" ht="13.5" hidden="1"/>
    <row r="17260" ht="13.5" hidden="1"/>
    <row r="17261" ht="13.5" hidden="1"/>
    <row r="17262" ht="13.5" hidden="1"/>
    <row r="17263" ht="13.5" hidden="1"/>
    <row r="17264" ht="13.5" hidden="1"/>
    <row r="17265" ht="13.5" hidden="1"/>
    <row r="17266" ht="13.5" hidden="1"/>
    <row r="17267" ht="13.5" hidden="1"/>
    <row r="17268" ht="13.5" hidden="1"/>
    <row r="17269" ht="13.5" hidden="1"/>
    <row r="17270" ht="13.5" hidden="1"/>
    <row r="17271" ht="13.5" hidden="1"/>
    <row r="17272" ht="13.5" hidden="1"/>
    <row r="17273" ht="13.5" hidden="1"/>
    <row r="17274" ht="13.5" hidden="1"/>
    <row r="17275" ht="13.5" hidden="1"/>
    <row r="17276" ht="13.5" hidden="1"/>
    <row r="17277" ht="13.5" hidden="1"/>
    <row r="17278" ht="13.5" hidden="1"/>
    <row r="17279" ht="13.5" hidden="1"/>
    <row r="17280" ht="13.5" hidden="1"/>
    <row r="17281" ht="13.5" hidden="1"/>
    <row r="17282" ht="13.5" hidden="1"/>
    <row r="17283" ht="13.5" hidden="1"/>
    <row r="17284" ht="13.5" hidden="1"/>
    <row r="17285" ht="13.5" hidden="1"/>
    <row r="17286" ht="13.5" hidden="1"/>
    <row r="17287" ht="13.5" hidden="1"/>
    <row r="17288" ht="13.5" hidden="1"/>
    <row r="17289" ht="13.5" hidden="1"/>
    <row r="17290" ht="13.5" hidden="1"/>
    <row r="17291" ht="13.5" hidden="1"/>
    <row r="17292" ht="13.5" hidden="1"/>
    <row r="17293" ht="13.5" hidden="1"/>
    <row r="17294" ht="13.5" hidden="1"/>
    <row r="17295" ht="13.5" hidden="1"/>
    <row r="17296" ht="13.5" hidden="1"/>
    <row r="17297" ht="13.5" hidden="1"/>
    <row r="17298" ht="13.5" hidden="1"/>
    <row r="17299" ht="13.5" hidden="1"/>
    <row r="17300" ht="13.5" hidden="1"/>
    <row r="17301" ht="13.5" hidden="1"/>
    <row r="17302" ht="13.5" hidden="1"/>
    <row r="17303" ht="13.5" hidden="1"/>
    <row r="17304" ht="13.5" hidden="1"/>
    <row r="17305" ht="13.5" hidden="1"/>
    <row r="17306" ht="13.5" hidden="1"/>
    <row r="17307" ht="13.5" hidden="1"/>
    <row r="17308" ht="13.5" hidden="1"/>
    <row r="17309" ht="13.5" hidden="1"/>
    <row r="17310" ht="13.5" hidden="1"/>
    <row r="17311" ht="13.5" hidden="1"/>
    <row r="17312" ht="13.5" hidden="1"/>
    <row r="17313" ht="13.5" hidden="1"/>
    <row r="17314" ht="13.5" hidden="1"/>
    <row r="17315" ht="13.5" hidden="1"/>
    <row r="17316" ht="13.5" hidden="1"/>
    <row r="17317" ht="13.5" hidden="1"/>
    <row r="17318" ht="13.5" hidden="1"/>
    <row r="17319" ht="13.5" hidden="1"/>
    <row r="17320" ht="13.5" hidden="1"/>
    <row r="17321" ht="13.5" hidden="1"/>
    <row r="17322" ht="13.5" hidden="1"/>
    <row r="17323" ht="13.5" hidden="1"/>
    <row r="17324" ht="13.5" hidden="1"/>
    <row r="17325" ht="13.5" hidden="1"/>
    <row r="17326" ht="13.5" hidden="1"/>
    <row r="17327" ht="13.5" hidden="1"/>
    <row r="17328" ht="13.5" hidden="1"/>
    <row r="17329" ht="13.5" hidden="1"/>
    <row r="17330" ht="13.5" hidden="1"/>
    <row r="17331" ht="13.5" hidden="1"/>
    <row r="17332" ht="13.5" hidden="1"/>
    <row r="17333" ht="13.5" hidden="1"/>
    <row r="17334" ht="13.5" hidden="1"/>
    <row r="17335" ht="13.5" hidden="1"/>
    <row r="17336" ht="13.5" hidden="1"/>
    <row r="17337" ht="13.5" hidden="1"/>
    <row r="17338" ht="13.5" hidden="1"/>
    <row r="17339" ht="13.5" hidden="1"/>
    <row r="17340" ht="13.5" hidden="1"/>
    <row r="17341" ht="13.5" hidden="1"/>
    <row r="17342" ht="13.5" hidden="1"/>
    <row r="17343" ht="13.5" hidden="1"/>
    <row r="17344" ht="13.5" hidden="1"/>
    <row r="17345" ht="13.5" hidden="1"/>
    <row r="17346" ht="13.5" hidden="1"/>
    <row r="17347" ht="13.5" hidden="1"/>
    <row r="17348" ht="13.5" hidden="1"/>
    <row r="17349" ht="13.5" hidden="1"/>
    <row r="17350" ht="13.5" hidden="1"/>
    <row r="17351" ht="13.5" hidden="1"/>
    <row r="17352" ht="13.5" hidden="1"/>
    <row r="17353" ht="13.5" hidden="1"/>
    <row r="17354" ht="13.5" hidden="1"/>
    <row r="17355" ht="13.5" hidden="1"/>
    <row r="17356" ht="13.5" hidden="1"/>
    <row r="17357" ht="13.5" hidden="1"/>
    <row r="17358" ht="13.5" hidden="1"/>
    <row r="17359" ht="13.5" hidden="1"/>
    <row r="17360" ht="13.5" hidden="1"/>
    <row r="17361" ht="13.5" hidden="1"/>
    <row r="17362" ht="13.5" hidden="1"/>
    <row r="17363" ht="13.5" hidden="1"/>
    <row r="17364" ht="13.5" hidden="1"/>
    <row r="17365" ht="13.5" hidden="1"/>
    <row r="17366" ht="13.5" hidden="1"/>
    <row r="17367" ht="13.5" hidden="1"/>
    <row r="17368" ht="13.5" hidden="1"/>
    <row r="17369" ht="13.5" hidden="1"/>
    <row r="17370" ht="13.5" hidden="1"/>
    <row r="17371" ht="13.5" hidden="1"/>
    <row r="17372" ht="13.5" hidden="1"/>
    <row r="17373" ht="13.5" hidden="1"/>
    <row r="17374" ht="13.5" hidden="1"/>
    <row r="17375" ht="13.5" hidden="1"/>
    <row r="17376" ht="13.5" hidden="1"/>
    <row r="17377" ht="13.5" hidden="1"/>
    <row r="17378" ht="13.5" hidden="1"/>
    <row r="17379" ht="13.5" hidden="1"/>
    <row r="17380" ht="13.5" hidden="1"/>
    <row r="17381" ht="13.5" hidden="1"/>
    <row r="17382" ht="13.5" hidden="1"/>
    <row r="17383" ht="13.5" hidden="1"/>
    <row r="17384" ht="13.5" hidden="1"/>
    <row r="17385" ht="13.5" hidden="1"/>
    <row r="17386" ht="13.5" hidden="1"/>
    <row r="17387" ht="13.5" hidden="1"/>
    <row r="17388" ht="13.5" hidden="1"/>
    <row r="17389" ht="13.5" hidden="1"/>
    <row r="17390" ht="13.5" hidden="1"/>
    <row r="17391" ht="13.5" hidden="1"/>
    <row r="17392" ht="13.5" hidden="1"/>
    <row r="17393" ht="13.5" hidden="1"/>
    <row r="17394" ht="13.5" hidden="1"/>
    <row r="17395" ht="13.5" hidden="1"/>
    <row r="17396" ht="13.5" hidden="1"/>
    <row r="17397" ht="13.5" hidden="1"/>
    <row r="17398" ht="13.5" hidden="1"/>
    <row r="17399" ht="13.5" hidden="1"/>
    <row r="17400" ht="13.5" hidden="1"/>
    <row r="17401" ht="13.5" hidden="1"/>
    <row r="17402" ht="13.5" hidden="1"/>
    <row r="17403" ht="13.5" hidden="1"/>
    <row r="17404" ht="13.5" hidden="1"/>
    <row r="17405" ht="13.5" hidden="1"/>
    <row r="17406" ht="13.5" hidden="1"/>
    <row r="17407" ht="13.5" hidden="1"/>
    <row r="17408" ht="13.5" hidden="1"/>
    <row r="17409" ht="13.5" hidden="1"/>
    <row r="17410" ht="13.5" hidden="1"/>
    <row r="17411" ht="13.5" hidden="1"/>
    <row r="17412" ht="13.5" hidden="1"/>
    <row r="17413" ht="13.5" hidden="1"/>
    <row r="17414" ht="13.5" hidden="1"/>
    <row r="17415" ht="13.5" hidden="1"/>
    <row r="17416" ht="13.5" hidden="1"/>
    <row r="17417" ht="13.5" hidden="1"/>
    <row r="17418" ht="13.5" hidden="1"/>
    <row r="17419" ht="13.5" hidden="1"/>
    <row r="17420" ht="13.5" hidden="1"/>
    <row r="17421" ht="13.5" hidden="1"/>
    <row r="17422" ht="13.5" hidden="1"/>
    <row r="17423" ht="13.5" hidden="1"/>
    <row r="17424" ht="13.5" hidden="1"/>
    <row r="17425" ht="13.5" hidden="1"/>
    <row r="17426" ht="13.5" hidden="1"/>
    <row r="17427" ht="13.5" hidden="1"/>
    <row r="17428" ht="13.5" hidden="1"/>
    <row r="17429" ht="13.5" hidden="1"/>
    <row r="17430" ht="13.5" hidden="1"/>
    <row r="17431" ht="13.5" hidden="1"/>
    <row r="17432" ht="13.5" hidden="1"/>
    <row r="17433" ht="13.5" hidden="1"/>
    <row r="17434" ht="13.5" hidden="1"/>
    <row r="17435" ht="13.5" hidden="1"/>
    <row r="17436" ht="13.5" hidden="1"/>
    <row r="17437" ht="13.5" hidden="1"/>
    <row r="17438" ht="13.5" hidden="1"/>
    <row r="17439" ht="13.5" hidden="1"/>
    <row r="17440" ht="13.5" hidden="1"/>
    <row r="17441" ht="13.5" hidden="1"/>
    <row r="17442" ht="13.5" hidden="1"/>
    <row r="17443" ht="13.5" hidden="1"/>
    <row r="17444" ht="13.5" hidden="1"/>
    <row r="17445" ht="13.5" hidden="1"/>
    <row r="17446" ht="13.5" hidden="1"/>
    <row r="17447" ht="13.5" hidden="1"/>
    <row r="17448" ht="13.5" hidden="1"/>
    <row r="17449" ht="13.5" hidden="1"/>
    <row r="17450" ht="13.5" hidden="1"/>
    <row r="17451" ht="13.5" hidden="1"/>
    <row r="17452" ht="13.5" hidden="1"/>
    <row r="17453" ht="13.5" hidden="1"/>
    <row r="17454" ht="13.5" hidden="1"/>
    <row r="17455" ht="13.5" hidden="1"/>
    <row r="17456" ht="13.5" hidden="1"/>
    <row r="17457" ht="13.5" hidden="1"/>
    <row r="17458" ht="13.5" hidden="1"/>
    <row r="17459" ht="13.5" hidden="1"/>
    <row r="17460" ht="13.5" hidden="1"/>
    <row r="17461" ht="13.5" hidden="1"/>
    <row r="17462" ht="13.5" hidden="1"/>
    <row r="17463" ht="13.5" hidden="1"/>
    <row r="17464" ht="13.5" hidden="1"/>
    <row r="17465" ht="13.5" hidden="1"/>
    <row r="17466" ht="13.5" hidden="1"/>
    <row r="17467" ht="13.5" hidden="1"/>
    <row r="17468" ht="13.5" hidden="1"/>
    <row r="17469" ht="13.5" hidden="1"/>
    <row r="17470" ht="13.5" hidden="1"/>
    <row r="17471" ht="13.5" hidden="1"/>
    <row r="17472" ht="13.5" hidden="1"/>
    <row r="17473" ht="13.5" hidden="1"/>
    <row r="17474" ht="13.5" hidden="1"/>
    <row r="17475" ht="13.5" hidden="1"/>
    <row r="17476" ht="13.5" hidden="1"/>
    <row r="17477" ht="13.5" hidden="1"/>
    <row r="17478" ht="13.5" hidden="1"/>
    <row r="17479" ht="13.5" hidden="1"/>
    <row r="17480" ht="13.5" hidden="1"/>
    <row r="17481" ht="13.5" hidden="1"/>
    <row r="17482" ht="13.5" hidden="1"/>
    <row r="17483" ht="13.5" hidden="1"/>
    <row r="17484" ht="13.5" hidden="1"/>
    <row r="17485" ht="13.5" hidden="1"/>
    <row r="17486" ht="13.5" hidden="1"/>
    <row r="17487" ht="13.5" hidden="1"/>
    <row r="17488" ht="13.5" hidden="1"/>
    <row r="17489" ht="13.5" hidden="1"/>
    <row r="17490" ht="13.5" hidden="1"/>
    <row r="17491" ht="13.5" hidden="1"/>
    <row r="17492" ht="13.5" hidden="1"/>
    <row r="17493" ht="13.5" hidden="1"/>
    <row r="17494" ht="13.5" hidden="1"/>
    <row r="17495" ht="13.5" hidden="1"/>
    <row r="17496" ht="13.5" hidden="1"/>
    <row r="17497" ht="13.5" hidden="1"/>
    <row r="17498" ht="13.5" hidden="1"/>
    <row r="17499" ht="13.5" hidden="1"/>
    <row r="17500" ht="13.5" hidden="1"/>
    <row r="17501" ht="13.5" hidden="1"/>
    <row r="17502" ht="13.5" hidden="1"/>
    <row r="17503" ht="13.5" hidden="1"/>
    <row r="17504" ht="13.5" hidden="1"/>
    <row r="17505" ht="13.5" hidden="1"/>
    <row r="17506" ht="13.5" hidden="1"/>
    <row r="17507" ht="13.5" hidden="1"/>
    <row r="17508" ht="13.5" hidden="1"/>
    <row r="17509" ht="13.5" hidden="1"/>
    <row r="17510" ht="13.5" hidden="1"/>
    <row r="17511" ht="13.5" hidden="1"/>
    <row r="17512" ht="13.5" hidden="1"/>
    <row r="17513" ht="13.5" hidden="1"/>
    <row r="17514" ht="13.5" hidden="1"/>
    <row r="17515" ht="13.5" hidden="1"/>
    <row r="17516" ht="13.5" hidden="1"/>
    <row r="17517" ht="13.5" hidden="1"/>
    <row r="17518" ht="13.5" hidden="1"/>
    <row r="17519" ht="13.5" hidden="1"/>
    <row r="17520" ht="13.5" hidden="1"/>
    <row r="17521" ht="13.5" hidden="1"/>
    <row r="17522" ht="13.5" hidden="1"/>
    <row r="17523" ht="13.5" hidden="1"/>
    <row r="17524" ht="13.5" hidden="1"/>
    <row r="17525" ht="13.5" hidden="1"/>
    <row r="17526" ht="13.5" hidden="1"/>
    <row r="17527" ht="13.5" hidden="1"/>
    <row r="17528" ht="13.5" hidden="1"/>
    <row r="17529" ht="13.5" hidden="1"/>
    <row r="17530" ht="13.5" hidden="1"/>
    <row r="17531" ht="13.5" hidden="1"/>
    <row r="17532" ht="13.5" hidden="1"/>
    <row r="17533" ht="13.5" hidden="1"/>
    <row r="17534" ht="13.5" hidden="1"/>
    <row r="17535" ht="13.5" hidden="1"/>
    <row r="17536" ht="13.5" hidden="1"/>
    <row r="17537" ht="13.5" hidden="1"/>
    <row r="17538" ht="13.5" hidden="1"/>
    <row r="17539" ht="13.5" hidden="1"/>
    <row r="17540" ht="13.5" hidden="1"/>
    <row r="17541" ht="13.5" hidden="1"/>
    <row r="17542" ht="13.5" hidden="1"/>
    <row r="17543" ht="13.5" hidden="1"/>
    <row r="17544" ht="13.5" hidden="1"/>
    <row r="17545" ht="13.5" hidden="1"/>
    <row r="17546" ht="13.5" hidden="1"/>
    <row r="17547" ht="13.5" hidden="1"/>
    <row r="17548" ht="13.5" hidden="1"/>
    <row r="17549" ht="13.5" hidden="1"/>
    <row r="17550" ht="13.5" hidden="1"/>
    <row r="17551" ht="13.5" hidden="1"/>
    <row r="17552" ht="13.5" hidden="1"/>
    <row r="17553" ht="13.5" hidden="1"/>
    <row r="17554" ht="13.5" hidden="1"/>
    <row r="17555" ht="13.5" hidden="1"/>
    <row r="17556" ht="13.5" hidden="1"/>
    <row r="17557" ht="13.5" hidden="1"/>
    <row r="17558" ht="13.5" hidden="1"/>
    <row r="17559" ht="13.5" hidden="1"/>
    <row r="17560" ht="13.5" hidden="1"/>
    <row r="17561" ht="13.5" hidden="1"/>
    <row r="17562" ht="13.5" hidden="1"/>
    <row r="17563" ht="13.5" hidden="1"/>
    <row r="17564" ht="13.5" hidden="1"/>
    <row r="17565" ht="13.5" hidden="1"/>
    <row r="17566" ht="13.5" hidden="1"/>
    <row r="17567" ht="13.5" hidden="1"/>
    <row r="17568" ht="13.5" hidden="1"/>
    <row r="17569" ht="13.5" hidden="1"/>
    <row r="17570" ht="13.5" hidden="1"/>
    <row r="17571" ht="13.5" hidden="1"/>
    <row r="17572" ht="13.5" hidden="1"/>
    <row r="17573" ht="13.5" hidden="1"/>
    <row r="17574" ht="13.5" hidden="1"/>
    <row r="17575" ht="13.5" hidden="1"/>
    <row r="17576" ht="13.5" hidden="1"/>
    <row r="17577" ht="13.5" hidden="1"/>
    <row r="17578" ht="13.5" hidden="1"/>
    <row r="17579" ht="13.5" hidden="1"/>
    <row r="17580" ht="13.5" hidden="1"/>
    <row r="17581" ht="13.5" hidden="1"/>
    <row r="17582" ht="13.5" hidden="1"/>
    <row r="17583" ht="13.5" hidden="1"/>
    <row r="17584" ht="13.5" hidden="1"/>
    <row r="17585" ht="13.5" hidden="1"/>
    <row r="17586" ht="13.5" hidden="1"/>
    <row r="17587" ht="13.5" hidden="1"/>
    <row r="17588" ht="13.5" hidden="1"/>
    <row r="17589" ht="13.5" hidden="1"/>
    <row r="17590" ht="13.5" hidden="1"/>
    <row r="17591" ht="13.5" hidden="1"/>
    <row r="17592" ht="13.5" hidden="1"/>
    <row r="17593" ht="13.5" hidden="1"/>
    <row r="17594" ht="13.5" hidden="1"/>
    <row r="17595" ht="13.5" hidden="1"/>
    <row r="17596" ht="13.5" hidden="1"/>
    <row r="17597" ht="13.5" hidden="1"/>
    <row r="17598" ht="13.5" hidden="1"/>
    <row r="17599" ht="13.5" hidden="1"/>
    <row r="17600" ht="13.5" hidden="1"/>
    <row r="17601" ht="13.5" hidden="1"/>
    <row r="17602" ht="13.5" hidden="1"/>
    <row r="17603" ht="13.5" hidden="1"/>
    <row r="17604" ht="13.5" hidden="1"/>
    <row r="17605" ht="13.5" hidden="1"/>
    <row r="17606" ht="13.5" hidden="1"/>
    <row r="17607" ht="13.5" hidden="1"/>
    <row r="17608" ht="13.5" hidden="1"/>
    <row r="17609" ht="13.5" hidden="1"/>
    <row r="17610" ht="13.5" hidden="1"/>
    <row r="17611" ht="13.5" hidden="1"/>
    <row r="17612" ht="13.5" hidden="1"/>
    <row r="17613" ht="13.5" hidden="1"/>
    <row r="17614" ht="13.5" hidden="1"/>
    <row r="17615" ht="13.5" hidden="1"/>
    <row r="17616" ht="13.5" hidden="1"/>
    <row r="17617" ht="13.5" hidden="1"/>
    <row r="17618" ht="13.5" hidden="1"/>
    <row r="17619" ht="13.5" hidden="1"/>
    <row r="17620" ht="13.5" hidden="1"/>
    <row r="17621" ht="13.5" hidden="1"/>
    <row r="17622" ht="13.5" hidden="1"/>
    <row r="17623" ht="13.5" hidden="1"/>
    <row r="17624" ht="13.5" hidden="1"/>
    <row r="17625" ht="13.5" hidden="1"/>
    <row r="17626" ht="13.5" hidden="1"/>
    <row r="17627" ht="13.5" hidden="1"/>
    <row r="17628" ht="13.5" hidden="1"/>
    <row r="17629" ht="13.5" hidden="1"/>
    <row r="17630" ht="13.5" hidden="1"/>
    <row r="17631" ht="13.5" hidden="1"/>
    <row r="17632" ht="13.5" hidden="1"/>
    <row r="17633" ht="13.5" hidden="1"/>
    <row r="17634" ht="13.5" hidden="1"/>
    <row r="17635" ht="13.5" hidden="1"/>
    <row r="17636" ht="13.5" hidden="1"/>
    <row r="17637" ht="13.5" hidden="1"/>
    <row r="17638" ht="13.5" hidden="1"/>
    <row r="17639" ht="13.5" hidden="1"/>
    <row r="17640" ht="13.5" hidden="1"/>
    <row r="17641" ht="13.5" hidden="1"/>
    <row r="17642" ht="13.5" hidden="1"/>
    <row r="17643" ht="13.5" hidden="1"/>
    <row r="17644" ht="13.5" hidden="1"/>
    <row r="17645" ht="13.5" hidden="1"/>
    <row r="17646" ht="13.5" hidden="1"/>
    <row r="17647" ht="13.5" hidden="1"/>
    <row r="17648" ht="13.5" hidden="1"/>
    <row r="17649" ht="13.5" hidden="1"/>
    <row r="17650" ht="13.5" hidden="1"/>
    <row r="17651" ht="13.5" hidden="1"/>
    <row r="17652" ht="13.5" hidden="1"/>
    <row r="17653" ht="13.5" hidden="1"/>
    <row r="17654" ht="13.5" hidden="1"/>
    <row r="17655" ht="13.5" hidden="1"/>
    <row r="17656" ht="13.5" hidden="1"/>
    <row r="17657" ht="13.5" hidden="1"/>
    <row r="17658" ht="13.5" hidden="1"/>
    <row r="17659" ht="13.5" hidden="1"/>
    <row r="17660" ht="13.5" hidden="1"/>
    <row r="17661" ht="13.5" hidden="1"/>
    <row r="17662" ht="13.5" hidden="1"/>
    <row r="17663" ht="13.5" hidden="1"/>
    <row r="17664" ht="13.5" hidden="1"/>
    <row r="17665" ht="13.5" hidden="1"/>
    <row r="17666" ht="13.5" hidden="1"/>
    <row r="17667" ht="13.5" hidden="1"/>
    <row r="17668" ht="13.5" hidden="1"/>
    <row r="17669" ht="13.5" hidden="1"/>
    <row r="17670" ht="13.5" hidden="1"/>
    <row r="17671" ht="13.5" hidden="1"/>
    <row r="17672" ht="13.5" hidden="1"/>
    <row r="17673" ht="13.5" hidden="1"/>
    <row r="17674" ht="13.5" hidden="1"/>
    <row r="17675" ht="13.5" hidden="1"/>
    <row r="17676" ht="13.5" hidden="1"/>
    <row r="17677" ht="13.5" hidden="1"/>
    <row r="17678" ht="13.5" hidden="1"/>
    <row r="17679" ht="13.5" hidden="1"/>
    <row r="17680" ht="13.5" hidden="1"/>
    <row r="17681" ht="13.5" hidden="1"/>
    <row r="17682" ht="13.5" hidden="1"/>
    <row r="17683" ht="13.5" hidden="1"/>
    <row r="17684" ht="13.5" hidden="1"/>
    <row r="17685" ht="13.5" hidden="1"/>
    <row r="17686" ht="13.5" hidden="1"/>
    <row r="17687" ht="13.5" hidden="1"/>
    <row r="17688" ht="13.5" hidden="1"/>
    <row r="17689" ht="13.5" hidden="1"/>
    <row r="17690" ht="13.5" hidden="1"/>
    <row r="17691" ht="13.5" hidden="1"/>
    <row r="17692" ht="13.5" hidden="1"/>
    <row r="17693" ht="13.5" hidden="1"/>
    <row r="17694" ht="13.5" hidden="1"/>
    <row r="17695" ht="13.5" hidden="1"/>
    <row r="17696" ht="13.5" hidden="1"/>
    <row r="17697" ht="13.5" hidden="1"/>
    <row r="17698" ht="13.5" hidden="1"/>
    <row r="17699" ht="13.5" hidden="1"/>
    <row r="17700" ht="13.5" hidden="1"/>
    <row r="17701" ht="13.5" hidden="1"/>
    <row r="17702" ht="13.5" hidden="1"/>
    <row r="17703" ht="13.5" hidden="1"/>
    <row r="17704" ht="13.5" hidden="1"/>
    <row r="17705" ht="13.5" hidden="1"/>
    <row r="17706" ht="13.5" hidden="1"/>
    <row r="17707" ht="13.5" hidden="1"/>
    <row r="17708" ht="13.5" hidden="1"/>
    <row r="17709" ht="13.5" hidden="1"/>
    <row r="17710" ht="13.5" hidden="1"/>
    <row r="17711" ht="13.5" hidden="1"/>
    <row r="17712" ht="13.5" hidden="1"/>
    <row r="17713" ht="13.5" hidden="1"/>
    <row r="17714" ht="13.5" hidden="1"/>
    <row r="17715" ht="13.5" hidden="1"/>
    <row r="17716" ht="13.5" hidden="1"/>
    <row r="17717" ht="13.5" hidden="1"/>
    <row r="17718" ht="13.5" hidden="1"/>
    <row r="17719" ht="13.5" hidden="1"/>
    <row r="17720" ht="13.5" hidden="1"/>
    <row r="17721" ht="13.5" hidden="1"/>
    <row r="17722" ht="13.5" hidden="1"/>
    <row r="17723" ht="13.5" hidden="1"/>
    <row r="17724" ht="13.5" hidden="1"/>
    <row r="17725" ht="13.5" hidden="1"/>
    <row r="17726" ht="13.5" hidden="1"/>
    <row r="17727" ht="13.5" hidden="1"/>
    <row r="17728" ht="13.5" hidden="1"/>
    <row r="17729" ht="13.5" hidden="1"/>
    <row r="17730" ht="13.5" hidden="1"/>
    <row r="17731" ht="13.5" hidden="1"/>
    <row r="17732" ht="13.5" hidden="1"/>
    <row r="17733" ht="13.5" hidden="1"/>
    <row r="17734" ht="13.5" hidden="1"/>
    <row r="17735" ht="13.5" hidden="1"/>
    <row r="17736" ht="13.5" hidden="1"/>
    <row r="17737" ht="13.5" hidden="1"/>
    <row r="17738" ht="13.5" hidden="1"/>
    <row r="17739" ht="13.5" hidden="1"/>
    <row r="17740" ht="13.5" hidden="1"/>
    <row r="17741" ht="13.5" hidden="1"/>
    <row r="17742" ht="13.5" hidden="1"/>
    <row r="17743" ht="13.5" hidden="1"/>
    <row r="17744" ht="13.5" hidden="1"/>
    <row r="17745" ht="13.5" hidden="1"/>
    <row r="17746" ht="13.5" hidden="1"/>
    <row r="17747" ht="13.5" hidden="1"/>
    <row r="17748" ht="13.5" hidden="1"/>
    <row r="17749" ht="13.5" hidden="1"/>
    <row r="17750" ht="13.5" hidden="1"/>
    <row r="17751" ht="13.5" hidden="1"/>
    <row r="17752" ht="13.5" hidden="1"/>
    <row r="17753" ht="13.5" hidden="1"/>
    <row r="17754" ht="13.5" hidden="1"/>
    <row r="17755" ht="13.5" hidden="1"/>
    <row r="17756" ht="13.5" hidden="1"/>
    <row r="17757" ht="13.5" hidden="1"/>
    <row r="17758" ht="13.5" hidden="1"/>
    <row r="17759" ht="13.5" hidden="1"/>
    <row r="17760" ht="13.5" hidden="1"/>
    <row r="17761" ht="13.5" hidden="1"/>
    <row r="17762" ht="13.5" hidden="1"/>
    <row r="17763" ht="13.5" hidden="1"/>
    <row r="17764" ht="13.5" hidden="1"/>
    <row r="17765" ht="13.5" hidden="1"/>
    <row r="17766" ht="13.5" hidden="1"/>
    <row r="17767" ht="13.5" hidden="1"/>
    <row r="17768" ht="13.5" hidden="1"/>
    <row r="17769" ht="13.5" hidden="1"/>
    <row r="17770" ht="13.5" hidden="1"/>
    <row r="17771" ht="13.5" hidden="1"/>
    <row r="17772" ht="13.5" hidden="1"/>
    <row r="17773" ht="13.5" hidden="1"/>
    <row r="17774" ht="13.5" hidden="1"/>
    <row r="17775" ht="13.5" hidden="1"/>
    <row r="17776" ht="13.5" hidden="1"/>
    <row r="17777" ht="13.5" hidden="1"/>
    <row r="17778" ht="13.5" hidden="1"/>
    <row r="17779" ht="13.5" hidden="1"/>
    <row r="17780" ht="13.5" hidden="1"/>
    <row r="17781" ht="13.5" hidden="1"/>
    <row r="17782" ht="13.5" hidden="1"/>
    <row r="17783" ht="13.5" hidden="1"/>
    <row r="17784" ht="13.5" hidden="1"/>
    <row r="17785" ht="13.5" hidden="1"/>
    <row r="17786" ht="13.5" hidden="1"/>
    <row r="17787" ht="13.5" hidden="1"/>
    <row r="17788" ht="13.5" hidden="1"/>
    <row r="17789" ht="13.5" hidden="1"/>
    <row r="17790" ht="13.5" hidden="1"/>
    <row r="17791" ht="13.5" hidden="1"/>
    <row r="17792" ht="13.5" hidden="1"/>
    <row r="17793" ht="13.5" hidden="1"/>
    <row r="17794" ht="13.5" hidden="1"/>
    <row r="17795" ht="13.5" hidden="1"/>
    <row r="17796" ht="13.5" hidden="1"/>
    <row r="17797" ht="13.5" hidden="1"/>
    <row r="17798" ht="13.5" hidden="1"/>
    <row r="17799" ht="13.5" hidden="1"/>
    <row r="17800" ht="13.5" hidden="1"/>
    <row r="17801" ht="13.5" hidden="1"/>
    <row r="17802" ht="13.5" hidden="1"/>
    <row r="17803" ht="13.5" hidden="1"/>
    <row r="17804" ht="13.5" hidden="1"/>
    <row r="17805" ht="13.5" hidden="1"/>
    <row r="17806" ht="13.5" hidden="1"/>
    <row r="17807" ht="13.5" hidden="1"/>
    <row r="17808" ht="13.5" hidden="1"/>
    <row r="17809" ht="13.5" hidden="1"/>
    <row r="17810" ht="13.5" hidden="1"/>
    <row r="17811" ht="13.5" hidden="1"/>
    <row r="17812" ht="13.5" hidden="1"/>
    <row r="17813" ht="13.5" hidden="1"/>
    <row r="17814" ht="13.5" hidden="1"/>
    <row r="17815" ht="13.5" hidden="1"/>
    <row r="17816" ht="13.5" hidden="1"/>
    <row r="17817" ht="13.5" hidden="1"/>
    <row r="17818" ht="13.5" hidden="1"/>
    <row r="17819" ht="13.5" hidden="1"/>
    <row r="17820" ht="13.5" hidden="1"/>
    <row r="17821" ht="13.5" hidden="1"/>
    <row r="17822" ht="13.5" hidden="1"/>
    <row r="17823" ht="13.5" hidden="1"/>
    <row r="17824" ht="13.5" hidden="1"/>
    <row r="17825" ht="13.5" hidden="1"/>
    <row r="17826" ht="13.5" hidden="1"/>
    <row r="17827" ht="13.5" hidden="1"/>
    <row r="17828" ht="13.5" hidden="1"/>
    <row r="17829" ht="13.5" hidden="1"/>
    <row r="17830" ht="13.5" hidden="1"/>
    <row r="17831" ht="13.5" hidden="1"/>
    <row r="17832" ht="13.5" hidden="1"/>
    <row r="17833" ht="13.5" hidden="1"/>
    <row r="17834" ht="13.5" hidden="1"/>
    <row r="17835" ht="13.5" hidden="1"/>
    <row r="17836" ht="13.5" hidden="1"/>
    <row r="17837" ht="13.5" hidden="1"/>
    <row r="17838" ht="13.5" hidden="1"/>
    <row r="17839" ht="13.5" hidden="1"/>
    <row r="17840" ht="13.5" hidden="1"/>
    <row r="17841" ht="13.5" hidden="1"/>
    <row r="17842" ht="13.5" hidden="1"/>
    <row r="17843" ht="13.5" hidden="1"/>
    <row r="17844" ht="13.5" hidden="1"/>
    <row r="17845" ht="13.5" hidden="1"/>
    <row r="17846" ht="13.5" hidden="1"/>
    <row r="17847" ht="13.5" hidden="1"/>
    <row r="17848" ht="13.5" hidden="1"/>
    <row r="17849" ht="13.5" hidden="1"/>
    <row r="17850" ht="13.5" hidden="1"/>
    <row r="17851" ht="13.5" hidden="1"/>
    <row r="17852" ht="13.5" hidden="1"/>
    <row r="17853" ht="13.5" hidden="1"/>
    <row r="17854" ht="13.5" hidden="1"/>
    <row r="17855" ht="13.5" hidden="1"/>
    <row r="17856" ht="13.5" hidden="1"/>
    <row r="17857" ht="13.5" hidden="1"/>
    <row r="17858" ht="13.5" hidden="1"/>
    <row r="17859" ht="13.5" hidden="1"/>
    <row r="17860" ht="13.5" hidden="1"/>
    <row r="17861" ht="13.5" hidden="1"/>
    <row r="17862" ht="13.5" hidden="1"/>
    <row r="17863" ht="13.5" hidden="1"/>
    <row r="17864" ht="13.5" hidden="1"/>
    <row r="17865" ht="13.5" hidden="1"/>
    <row r="17866" ht="13.5" hidden="1"/>
    <row r="17867" ht="13.5" hidden="1"/>
    <row r="17868" ht="13.5" hidden="1"/>
    <row r="17869" ht="13.5" hidden="1"/>
    <row r="17870" ht="13.5" hidden="1"/>
    <row r="17871" ht="13.5" hidden="1"/>
    <row r="17872" ht="13.5" hidden="1"/>
    <row r="17873" ht="13.5" hidden="1"/>
    <row r="17874" ht="13.5" hidden="1"/>
    <row r="17875" ht="13.5" hidden="1"/>
    <row r="17876" ht="13.5" hidden="1"/>
    <row r="17877" ht="13.5" hidden="1"/>
    <row r="17878" ht="13.5" hidden="1"/>
    <row r="17879" ht="13.5" hidden="1"/>
    <row r="17880" ht="13.5" hidden="1"/>
    <row r="17881" ht="13.5" hidden="1"/>
    <row r="17882" ht="13.5" hidden="1"/>
    <row r="17883" ht="13.5" hidden="1"/>
    <row r="17884" ht="13.5" hidden="1"/>
    <row r="17885" ht="13.5" hidden="1"/>
    <row r="17886" ht="13.5" hidden="1"/>
    <row r="17887" ht="13.5" hidden="1"/>
    <row r="17888" ht="13.5" hidden="1"/>
    <row r="17889" ht="13.5" hidden="1"/>
    <row r="17890" ht="13.5" hidden="1"/>
    <row r="17891" ht="13.5" hidden="1"/>
    <row r="17892" ht="13.5" hidden="1"/>
    <row r="17893" ht="13.5" hidden="1"/>
    <row r="17894" ht="13.5" hidden="1"/>
    <row r="17895" ht="13.5" hidden="1"/>
    <row r="17896" ht="13.5" hidden="1"/>
    <row r="17897" ht="13.5" hidden="1"/>
    <row r="17898" ht="13.5" hidden="1"/>
    <row r="17899" ht="13.5" hidden="1"/>
    <row r="17900" ht="13.5" hidden="1"/>
    <row r="17901" ht="13.5" hidden="1"/>
    <row r="17902" ht="13.5" hidden="1"/>
    <row r="17903" ht="13.5" hidden="1"/>
    <row r="17904" ht="13.5" hidden="1"/>
    <row r="17905" ht="13.5" hidden="1"/>
    <row r="17906" ht="13.5" hidden="1"/>
    <row r="17907" ht="13.5" hidden="1"/>
    <row r="17908" ht="13.5" hidden="1"/>
    <row r="17909" ht="13.5" hidden="1"/>
    <row r="17910" ht="13.5" hidden="1"/>
    <row r="17911" ht="13.5" hidden="1"/>
    <row r="17912" ht="13.5" hidden="1"/>
    <row r="17913" ht="13.5" hidden="1"/>
    <row r="17914" ht="13.5" hidden="1"/>
    <row r="17915" ht="13.5" hidden="1"/>
    <row r="17916" ht="13.5" hidden="1"/>
    <row r="17917" ht="13.5" hidden="1"/>
    <row r="17918" ht="13.5" hidden="1"/>
    <row r="17919" ht="13.5" hidden="1"/>
    <row r="17920" ht="13.5" hidden="1"/>
    <row r="17921" ht="13.5" hidden="1"/>
    <row r="17922" ht="13.5" hidden="1"/>
    <row r="17923" ht="13.5" hidden="1"/>
    <row r="17924" ht="13.5" hidden="1"/>
    <row r="17925" ht="13.5" hidden="1"/>
    <row r="17926" ht="13.5" hidden="1"/>
    <row r="17927" ht="13.5" hidden="1"/>
    <row r="17928" ht="13.5" hidden="1"/>
    <row r="17929" ht="13.5" hidden="1"/>
    <row r="17930" ht="13.5" hidden="1"/>
    <row r="17931" ht="13.5" hidden="1"/>
    <row r="17932" ht="13.5" hidden="1"/>
    <row r="17933" ht="13.5" hidden="1"/>
    <row r="17934" ht="13.5" hidden="1"/>
    <row r="17935" ht="13.5" hidden="1"/>
    <row r="17936" ht="13.5" hidden="1"/>
    <row r="17937" ht="13.5" hidden="1"/>
    <row r="17938" ht="13.5" hidden="1"/>
    <row r="17939" ht="13.5" hidden="1"/>
    <row r="17940" ht="13.5" hidden="1"/>
    <row r="17941" ht="13.5" hidden="1"/>
    <row r="17942" ht="13.5" hidden="1"/>
    <row r="17943" ht="13.5" hidden="1"/>
    <row r="17944" ht="13.5" hidden="1"/>
    <row r="17945" ht="13.5" hidden="1"/>
    <row r="17946" ht="13.5" hidden="1"/>
    <row r="17947" ht="13.5" hidden="1"/>
    <row r="17948" ht="13.5" hidden="1"/>
    <row r="17949" ht="13.5" hidden="1"/>
    <row r="17950" ht="13.5" hidden="1"/>
    <row r="17951" ht="13.5" hidden="1"/>
    <row r="17952" ht="13.5" hidden="1"/>
    <row r="17953" ht="13.5" hidden="1"/>
    <row r="17954" ht="13.5" hidden="1"/>
    <row r="17955" ht="13.5" hidden="1"/>
    <row r="17956" ht="13.5" hidden="1"/>
    <row r="17957" ht="13.5" hidden="1"/>
    <row r="17958" ht="13.5" hidden="1"/>
    <row r="17959" ht="13.5" hidden="1"/>
    <row r="17960" ht="13.5" hidden="1"/>
    <row r="17961" ht="13.5" hidden="1"/>
    <row r="17962" ht="13.5" hidden="1"/>
    <row r="17963" ht="13.5" hidden="1"/>
    <row r="17964" ht="13.5" hidden="1"/>
    <row r="17965" ht="13.5" hidden="1"/>
    <row r="17966" ht="13.5" hidden="1"/>
    <row r="17967" ht="13.5" hidden="1"/>
    <row r="17968" ht="13.5" hidden="1"/>
    <row r="17969" ht="13.5" hidden="1"/>
    <row r="17970" ht="13.5" hidden="1"/>
    <row r="17971" ht="13.5" hidden="1"/>
    <row r="17972" ht="13.5" hidden="1"/>
    <row r="17973" ht="13.5" hidden="1"/>
    <row r="17974" ht="13.5" hidden="1"/>
    <row r="17975" ht="13.5" hidden="1"/>
    <row r="17976" ht="13.5" hidden="1"/>
    <row r="17977" ht="13.5" hidden="1"/>
    <row r="17978" ht="13.5" hidden="1"/>
    <row r="17979" ht="13.5" hidden="1"/>
    <row r="17980" ht="13.5" hidden="1"/>
    <row r="17981" ht="13.5" hidden="1"/>
    <row r="17982" ht="13.5" hidden="1"/>
    <row r="17983" ht="13.5" hidden="1"/>
    <row r="17984" ht="13.5" hidden="1"/>
    <row r="17985" ht="13.5" hidden="1"/>
    <row r="17986" ht="13.5" hidden="1"/>
    <row r="17987" ht="13.5" hidden="1"/>
    <row r="17988" ht="13.5" hidden="1"/>
    <row r="17989" ht="13.5" hidden="1"/>
    <row r="17990" ht="13.5" hidden="1"/>
    <row r="17991" ht="13.5" hidden="1"/>
    <row r="17992" ht="13.5" hidden="1"/>
    <row r="17993" ht="13.5" hidden="1"/>
    <row r="17994" ht="13.5" hidden="1"/>
    <row r="17995" ht="13.5" hidden="1"/>
    <row r="17996" ht="13.5" hidden="1"/>
    <row r="17997" ht="13.5" hidden="1"/>
    <row r="17998" ht="13.5" hidden="1"/>
    <row r="17999" ht="13.5" hidden="1"/>
    <row r="18000" ht="13.5" hidden="1"/>
    <row r="18001" ht="13.5" hidden="1"/>
    <row r="18002" ht="13.5" hidden="1"/>
    <row r="18003" ht="13.5" hidden="1"/>
    <row r="18004" ht="13.5" hidden="1"/>
    <row r="18005" ht="13.5" hidden="1"/>
    <row r="18006" ht="13.5" hidden="1"/>
    <row r="18007" ht="13.5" hidden="1"/>
    <row r="18008" ht="13.5" hidden="1"/>
    <row r="18009" ht="13.5" hidden="1"/>
    <row r="18010" ht="13.5" hidden="1"/>
    <row r="18011" ht="13.5" hidden="1"/>
    <row r="18012" ht="13.5" hidden="1"/>
    <row r="18013" ht="13.5" hidden="1"/>
    <row r="18014" ht="13.5" hidden="1"/>
    <row r="18015" ht="13.5" hidden="1"/>
    <row r="18016" ht="13.5" hidden="1"/>
    <row r="18017" ht="13.5" hidden="1"/>
    <row r="18018" ht="13.5" hidden="1"/>
    <row r="18019" ht="13.5" hidden="1"/>
    <row r="18020" ht="13.5" hidden="1"/>
    <row r="18021" ht="13.5" hidden="1"/>
    <row r="18022" ht="13.5" hidden="1"/>
    <row r="18023" ht="13.5" hidden="1"/>
    <row r="18024" ht="13.5" hidden="1"/>
    <row r="18025" ht="13.5" hidden="1"/>
    <row r="18026" ht="13.5" hidden="1"/>
    <row r="18027" ht="13.5" hidden="1"/>
    <row r="18028" ht="13.5" hidden="1"/>
    <row r="18029" ht="13.5" hidden="1"/>
    <row r="18030" ht="13.5" hidden="1"/>
    <row r="18031" ht="13.5" hidden="1"/>
    <row r="18032" ht="13.5" hidden="1"/>
    <row r="18033" ht="13.5" hidden="1"/>
    <row r="18034" ht="13.5" hidden="1"/>
    <row r="18035" ht="13.5" hidden="1"/>
    <row r="18036" ht="13.5" hidden="1"/>
    <row r="18037" ht="13.5" hidden="1"/>
    <row r="18038" ht="13.5" hidden="1"/>
    <row r="18039" ht="13.5" hidden="1"/>
    <row r="18040" ht="13.5" hidden="1"/>
    <row r="18041" ht="13.5" hidden="1"/>
    <row r="18042" ht="13.5" hidden="1"/>
    <row r="18043" ht="13.5" hidden="1"/>
    <row r="18044" ht="13.5" hidden="1"/>
    <row r="18045" ht="13.5" hidden="1"/>
    <row r="18046" ht="13.5" hidden="1"/>
    <row r="18047" ht="13.5" hidden="1"/>
    <row r="18048" ht="13.5" hidden="1"/>
    <row r="18049" ht="13.5" hidden="1"/>
    <row r="18050" ht="13.5" hidden="1"/>
    <row r="18051" ht="13.5" hidden="1"/>
    <row r="18052" ht="13.5" hidden="1"/>
    <row r="18053" ht="13.5" hidden="1"/>
    <row r="18054" ht="13.5" hidden="1"/>
    <row r="18055" ht="13.5" hidden="1"/>
    <row r="18056" ht="13.5" hidden="1"/>
    <row r="18057" ht="13.5" hidden="1"/>
    <row r="18058" ht="13.5" hidden="1"/>
    <row r="18059" ht="13.5" hidden="1"/>
    <row r="18060" ht="13.5" hidden="1"/>
    <row r="18061" ht="13.5" hidden="1"/>
    <row r="18062" ht="13.5" hidden="1"/>
    <row r="18063" ht="13.5" hidden="1"/>
    <row r="18064" ht="13.5" hidden="1"/>
    <row r="18065" ht="13.5" hidden="1"/>
    <row r="18066" ht="13.5" hidden="1"/>
    <row r="18067" ht="13.5" hidden="1"/>
    <row r="18068" ht="13.5" hidden="1"/>
    <row r="18069" ht="13.5" hidden="1"/>
    <row r="18070" ht="13.5" hidden="1"/>
    <row r="18071" ht="13.5" hidden="1"/>
    <row r="18072" ht="13.5" hidden="1"/>
    <row r="18073" ht="13.5" hidden="1"/>
    <row r="18074" ht="13.5" hidden="1"/>
    <row r="18075" ht="13.5" hidden="1"/>
    <row r="18076" ht="13.5" hidden="1"/>
    <row r="18077" ht="13.5" hidden="1"/>
    <row r="18078" ht="13.5" hidden="1"/>
    <row r="18079" ht="13.5" hidden="1"/>
    <row r="18080" ht="13.5" hidden="1"/>
    <row r="18081" ht="13.5" hidden="1"/>
    <row r="18082" ht="13.5" hidden="1"/>
    <row r="18083" ht="13.5" hidden="1"/>
    <row r="18084" ht="13.5" hidden="1"/>
    <row r="18085" ht="13.5" hidden="1"/>
    <row r="18086" ht="13.5" hidden="1"/>
    <row r="18087" ht="13.5" hidden="1"/>
    <row r="18088" ht="13.5" hidden="1"/>
    <row r="18089" ht="13.5" hidden="1"/>
    <row r="18090" ht="13.5" hidden="1"/>
    <row r="18091" ht="13.5" hidden="1"/>
    <row r="18092" ht="13.5" hidden="1"/>
    <row r="18093" ht="13.5" hidden="1"/>
    <row r="18094" ht="13.5" hidden="1"/>
    <row r="18095" ht="13.5" hidden="1"/>
    <row r="18096" ht="13.5" hidden="1"/>
    <row r="18097" ht="13.5" hidden="1"/>
    <row r="18098" ht="13.5" hidden="1"/>
    <row r="18099" ht="13.5" hidden="1"/>
    <row r="18100" ht="13.5" hidden="1"/>
    <row r="18101" ht="13.5" hidden="1"/>
    <row r="18102" ht="13.5" hidden="1"/>
    <row r="18103" ht="13.5" hidden="1"/>
    <row r="18104" ht="13.5" hidden="1"/>
    <row r="18105" ht="13.5" hidden="1"/>
    <row r="18106" ht="13.5" hidden="1"/>
    <row r="18107" ht="13.5" hidden="1"/>
    <row r="18108" ht="13.5" hidden="1"/>
    <row r="18109" ht="13.5" hidden="1"/>
    <row r="18110" ht="13.5" hidden="1"/>
    <row r="18111" ht="13.5" hidden="1"/>
    <row r="18112" ht="13.5" hidden="1"/>
    <row r="18113" ht="13.5" hidden="1"/>
    <row r="18114" ht="13.5" hidden="1"/>
    <row r="18115" ht="13.5" hidden="1"/>
    <row r="18116" ht="13.5" hidden="1"/>
    <row r="18117" ht="13.5" hidden="1"/>
    <row r="18118" ht="13.5" hidden="1"/>
    <row r="18119" ht="13.5" hidden="1"/>
    <row r="18120" ht="13.5" hidden="1"/>
    <row r="18121" ht="13.5" hidden="1"/>
    <row r="18122" ht="13.5" hidden="1"/>
    <row r="18123" ht="13.5" hidden="1"/>
    <row r="18124" ht="13.5" hidden="1"/>
    <row r="18125" ht="13.5" hidden="1"/>
    <row r="18126" ht="13.5" hidden="1"/>
    <row r="18127" ht="13.5" hidden="1"/>
    <row r="18128" ht="13.5" hidden="1"/>
    <row r="18129" ht="13.5" hidden="1"/>
    <row r="18130" ht="13.5" hidden="1"/>
    <row r="18131" ht="13.5" hidden="1"/>
    <row r="18132" ht="13.5" hidden="1"/>
    <row r="18133" ht="13.5" hidden="1"/>
    <row r="18134" ht="13.5" hidden="1"/>
    <row r="18135" ht="13.5" hidden="1"/>
    <row r="18136" ht="13.5" hidden="1"/>
    <row r="18137" ht="13.5" hidden="1"/>
    <row r="18138" ht="13.5" hidden="1"/>
    <row r="18139" ht="13.5" hidden="1"/>
    <row r="18140" ht="13.5" hidden="1"/>
    <row r="18141" ht="13.5" hidden="1"/>
    <row r="18142" ht="13.5" hidden="1"/>
    <row r="18143" ht="13.5" hidden="1"/>
    <row r="18144" ht="13.5" hidden="1"/>
    <row r="18145" ht="13.5" hidden="1"/>
    <row r="18146" ht="13.5" hidden="1"/>
    <row r="18147" ht="13.5" hidden="1"/>
    <row r="18148" ht="13.5" hidden="1"/>
    <row r="18149" ht="13.5" hidden="1"/>
    <row r="18150" ht="13.5" hidden="1"/>
    <row r="18151" ht="13.5" hidden="1"/>
    <row r="18152" ht="13.5" hidden="1"/>
    <row r="18153" ht="13.5" hidden="1"/>
    <row r="18154" ht="13.5" hidden="1"/>
    <row r="18155" ht="13.5" hidden="1"/>
    <row r="18156" ht="13.5" hidden="1"/>
    <row r="18157" ht="13.5" hidden="1"/>
    <row r="18158" ht="13.5" hidden="1"/>
    <row r="18159" ht="13.5" hidden="1"/>
    <row r="18160" ht="13.5" hidden="1"/>
    <row r="18161" ht="13.5" hidden="1"/>
    <row r="18162" ht="13.5" hidden="1"/>
    <row r="18163" ht="13.5" hidden="1"/>
    <row r="18164" ht="13.5" hidden="1"/>
    <row r="18165" ht="13.5" hidden="1"/>
    <row r="18166" ht="13.5" hidden="1"/>
    <row r="18167" ht="13.5" hidden="1"/>
    <row r="18168" ht="13.5" hidden="1"/>
    <row r="18169" ht="13.5" hidden="1"/>
    <row r="18170" ht="13.5" hidden="1"/>
    <row r="18171" ht="13.5" hidden="1"/>
    <row r="18172" ht="13.5" hidden="1"/>
    <row r="18173" ht="13.5" hidden="1"/>
    <row r="18174" ht="13.5" hidden="1"/>
    <row r="18175" ht="13.5" hidden="1"/>
    <row r="18176" ht="13.5" hidden="1"/>
    <row r="18177" ht="13.5" hidden="1"/>
    <row r="18178" ht="13.5" hidden="1"/>
    <row r="18179" ht="13.5" hidden="1"/>
    <row r="18180" ht="13.5" hidden="1"/>
    <row r="18181" ht="13.5" hidden="1"/>
    <row r="18182" ht="13.5" hidden="1"/>
    <row r="18183" ht="13.5" hidden="1"/>
    <row r="18184" ht="13.5" hidden="1"/>
    <row r="18185" ht="13.5" hidden="1"/>
    <row r="18186" ht="13.5" hidden="1"/>
    <row r="18187" ht="13.5" hidden="1"/>
    <row r="18188" ht="13.5" hidden="1"/>
    <row r="18189" ht="13.5" hidden="1"/>
    <row r="18190" ht="13.5" hidden="1"/>
    <row r="18191" ht="13.5" hidden="1"/>
    <row r="18192" ht="13.5" hidden="1"/>
    <row r="18193" ht="13.5" hidden="1"/>
    <row r="18194" ht="13.5" hidden="1"/>
    <row r="18195" ht="13.5" hidden="1"/>
    <row r="18196" ht="13.5" hidden="1"/>
    <row r="18197" ht="13.5" hidden="1"/>
    <row r="18198" ht="13.5" hidden="1"/>
    <row r="18199" ht="13.5" hidden="1"/>
    <row r="18200" ht="13.5" hidden="1"/>
    <row r="18201" ht="13.5" hidden="1"/>
    <row r="18202" ht="13.5" hidden="1"/>
    <row r="18203" ht="13.5" hidden="1"/>
    <row r="18204" ht="13.5" hidden="1"/>
    <row r="18205" ht="13.5" hidden="1"/>
    <row r="18206" ht="13.5" hidden="1"/>
    <row r="18207" ht="13.5" hidden="1"/>
    <row r="18208" ht="13.5" hidden="1"/>
    <row r="18209" ht="13.5" hidden="1"/>
    <row r="18210" ht="13.5" hidden="1"/>
    <row r="18211" ht="13.5" hidden="1"/>
    <row r="18212" ht="13.5" hidden="1"/>
    <row r="18213" ht="13.5" hidden="1"/>
    <row r="18214" ht="13.5" hidden="1"/>
    <row r="18215" ht="13.5" hidden="1"/>
    <row r="18216" ht="13.5" hidden="1"/>
    <row r="18217" ht="13.5" hidden="1"/>
    <row r="18218" ht="13.5" hidden="1"/>
    <row r="18219" ht="13.5" hidden="1"/>
    <row r="18220" ht="13.5" hidden="1"/>
    <row r="18221" ht="13.5" hidden="1"/>
    <row r="18222" ht="13.5" hidden="1"/>
    <row r="18223" ht="13.5" hidden="1"/>
    <row r="18224" ht="13.5" hidden="1"/>
    <row r="18225" ht="13.5" hidden="1"/>
    <row r="18226" ht="13.5" hidden="1"/>
    <row r="18227" ht="13.5" hidden="1"/>
    <row r="18228" ht="13.5" hidden="1"/>
    <row r="18229" ht="13.5" hidden="1"/>
    <row r="18230" ht="13.5" hidden="1"/>
    <row r="18231" ht="13.5" hidden="1"/>
    <row r="18232" ht="13.5" hidden="1"/>
    <row r="18233" ht="13.5" hidden="1"/>
    <row r="18234" ht="13.5" hidden="1"/>
    <row r="18235" ht="13.5" hidden="1"/>
    <row r="18236" ht="13.5" hidden="1"/>
    <row r="18237" ht="13.5" hidden="1"/>
    <row r="18238" ht="13.5" hidden="1"/>
    <row r="18239" ht="13.5" hidden="1"/>
    <row r="18240" ht="13.5" hidden="1"/>
    <row r="18241" ht="13.5" hidden="1"/>
    <row r="18242" ht="13.5" hidden="1"/>
    <row r="18243" ht="13.5" hidden="1"/>
    <row r="18244" ht="13.5" hidden="1"/>
    <row r="18245" ht="13.5" hidden="1"/>
    <row r="18246" ht="13.5" hidden="1"/>
    <row r="18247" ht="13.5" hidden="1"/>
    <row r="18248" ht="13.5" hidden="1"/>
    <row r="18249" ht="13.5" hidden="1"/>
    <row r="18250" ht="13.5" hidden="1"/>
    <row r="18251" ht="13.5" hidden="1"/>
    <row r="18252" ht="13.5" hidden="1"/>
    <row r="18253" ht="13.5" hidden="1"/>
    <row r="18254" ht="13.5" hidden="1"/>
    <row r="18255" ht="13.5" hidden="1"/>
    <row r="18256" ht="13.5" hidden="1"/>
    <row r="18257" ht="13.5" hidden="1"/>
    <row r="18258" ht="13.5" hidden="1"/>
    <row r="18259" ht="13.5" hidden="1"/>
    <row r="18260" ht="13.5" hidden="1"/>
    <row r="18261" ht="13.5" hidden="1"/>
    <row r="18262" ht="13.5" hidden="1"/>
    <row r="18263" ht="13.5" hidden="1"/>
    <row r="18264" ht="13.5" hidden="1"/>
    <row r="18265" ht="13.5" hidden="1"/>
    <row r="18266" ht="13.5" hidden="1"/>
    <row r="18267" ht="13.5" hidden="1"/>
    <row r="18268" ht="13.5" hidden="1"/>
    <row r="18269" ht="13.5" hidden="1"/>
    <row r="18270" ht="13.5" hidden="1"/>
    <row r="18271" ht="13.5" hidden="1"/>
    <row r="18272" ht="13.5" hidden="1"/>
    <row r="18273" ht="13.5" hidden="1"/>
    <row r="18274" ht="13.5" hidden="1"/>
    <row r="18275" ht="13.5" hidden="1"/>
    <row r="18276" ht="13.5" hidden="1"/>
    <row r="18277" ht="13.5" hidden="1"/>
    <row r="18278" ht="13.5" hidden="1"/>
    <row r="18279" ht="13.5" hidden="1"/>
    <row r="18280" ht="13.5" hidden="1"/>
    <row r="18281" ht="13.5" hidden="1"/>
    <row r="18282" ht="13.5" hidden="1"/>
    <row r="18283" ht="13.5" hidden="1"/>
    <row r="18284" ht="13.5" hidden="1"/>
    <row r="18285" ht="13.5" hidden="1"/>
    <row r="18286" ht="13.5" hidden="1"/>
    <row r="18287" ht="13.5" hidden="1"/>
    <row r="18288" ht="13.5" hidden="1"/>
    <row r="18289" ht="13.5" hidden="1"/>
    <row r="18290" ht="13.5" hidden="1"/>
    <row r="18291" ht="13.5" hidden="1"/>
    <row r="18292" ht="13.5" hidden="1"/>
    <row r="18293" ht="13.5" hidden="1"/>
    <row r="18294" ht="13.5" hidden="1"/>
    <row r="18295" ht="13.5" hidden="1"/>
    <row r="18296" ht="13.5" hidden="1"/>
    <row r="18297" ht="13.5" hidden="1"/>
    <row r="18298" ht="13.5" hidden="1"/>
    <row r="18299" ht="13.5" hidden="1"/>
    <row r="18300" ht="13.5" hidden="1"/>
    <row r="18301" ht="13.5" hidden="1"/>
    <row r="18302" ht="13.5" hidden="1"/>
    <row r="18303" ht="13.5" hidden="1"/>
    <row r="18304" ht="13.5" hidden="1"/>
    <row r="18305" ht="13.5" hidden="1"/>
    <row r="18306" ht="13.5" hidden="1"/>
    <row r="18307" ht="13.5" hidden="1"/>
    <row r="18308" ht="13.5" hidden="1"/>
    <row r="18309" ht="13.5" hidden="1"/>
    <row r="18310" ht="13.5" hidden="1"/>
    <row r="18311" ht="13.5" hidden="1"/>
    <row r="18312" ht="13.5" hidden="1"/>
    <row r="18313" ht="13.5" hidden="1"/>
    <row r="18314" ht="13.5" hidden="1"/>
    <row r="18315" ht="13.5" hidden="1"/>
    <row r="18316" ht="13.5" hidden="1"/>
    <row r="18317" ht="13.5" hidden="1"/>
    <row r="18318" ht="13.5" hidden="1"/>
    <row r="18319" ht="13.5" hidden="1"/>
    <row r="18320" ht="13.5" hidden="1"/>
    <row r="18321" ht="13.5" hidden="1"/>
    <row r="18322" ht="13.5" hidden="1"/>
    <row r="18323" ht="13.5" hidden="1"/>
    <row r="18324" ht="13.5" hidden="1"/>
    <row r="18325" ht="13.5" hidden="1"/>
    <row r="18326" ht="13.5" hidden="1"/>
    <row r="18327" ht="13.5" hidden="1"/>
    <row r="18328" ht="13.5" hidden="1"/>
    <row r="18329" ht="13.5" hidden="1"/>
    <row r="18330" ht="13.5" hidden="1"/>
    <row r="18331" ht="13.5" hidden="1"/>
    <row r="18332" ht="13.5" hidden="1"/>
    <row r="18333" ht="13.5" hidden="1"/>
    <row r="18334" ht="13.5" hidden="1"/>
    <row r="18335" ht="13.5" hidden="1"/>
    <row r="18336" ht="13.5" hidden="1"/>
    <row r="18337" ht="13.5" hidden="1"/>
    <row r="18338" ht="13.5" hidden="1"/>
    <row r="18339" ht="13.5" hidden="1"/>
    <row r="18340" ht="13.5" hidden="1"/>
    <row r="18341" ht="13.5" hidden="1"/>
    <row r="18342" ht="13.5" hidden="1"/>
    <row r="18343" ht="13.5" hidden="1"/>
    <row r="18344" ht="13.5" hidden="1"/>
    <row r="18345" ht="13.5" hidden="1"/>
    <row r="18346" ht="13.5" hidden="1"/>
    <row r="18347" ht="13.5" hidden="1"/>
    <row r="18348" ht="13.5" hidden="1"/>
    <row r="18349" ht="13.5" hidden="1"/>
    <row r="18350" ht="13.5" hidden="1"/>
    <row r="18351" ht="13.5" hidden="1"/>
    <row r="18352" ht="13.5" hidden="1"/>
    <row r="18353" ht="13.5" hidden="1"/>
    <row r="18354" ht="13.5" hidden="1"/>
    <row r="18355" ht="13.5" hidden="1"/>
    <row r="18356" ht="13.5" hidden="1"/>
    <row r="18357" ht="13.5" hidden="1"/>
    <row r="18358" ht="13.5" hidden="1"/>
    <row r="18359" ht="13.5" hidden="1"/>
    <row r="18360" ht="13.5" hidden="1"/>
    <row r="18361" ht="13.5" hidden="1"/>
    <row r="18362" ht="13.5" hidden="1"/>
    <row r="18363" ht="13.5" hidden="1"/>
    <row r="18364" ht="13.5" hidden="1"/>
    <row r="18365" ht="13.5" hidden="1"/>
    <row r="18366" ht="13.5" hidden="1"/>
    <row r="18367" ht="13.5" hidden="1"/>
    <row r="18368" ht="13.5" hidden="1"/>
    <row r="18369" ht="13.5" hidden="1"/>
    <row r="18370" ht="13.5" hidden="1"/>
    <row r="18371" ht="13.5" hidden="1"/>
    <row r="18372" ht="13.5" hidden="1"/>
    <row r="18373" ht="13.5" hidden="1"/>
    <row r="18374" ht="13.5" hidden="1"/>
    <row r="18375" ht="13.5" hidden="1"/>
    <row r="18376" ht="13.5" hidden="1"/>
    <row r="18377" ht="13.5" hidden="1"/>
    <row r="18378" ht="13.5" hidden="1"/>
    <row r="18379" ht="13.5" hidden="1"/>
    <row r="18380" ht="13.5" hidden="1"/>
    <row r="18381" ht="13.5" hidden="1"/>
    <row r="18382" ht="13.5" hidden="1"/>
    <row r="18383" ht="13.5" hidden="1"/>
    <row r="18384" ht="13.5" hidden="1"/>
    <row r="18385" ht="13.5" hidden="1"/>
    <row r="18386" ht="13.5" hidden="1"/>
    <row r="18387" ht="13.5" hidden="1"/>
    <row r="18388" ht="13.5" hidden="1"/>
    <row r="18389" ht="13.5" hidden="1"/>
    <row r="18390" ht="13.5" hidden="1"/>
    <row r="18391" ht="13.5" hidden="1"/>
    <row r="18392" ht="13.5" hidden="1"/>
    <row r="18393" ht="13.5" hidden="1"/>
    <row r="18394" ht="13.5" hidden="1"/>
    <row r="18395" ht="13.5" hidden="1"/>
    <row r="18396" ht="13.5" hidden="1"/>
    <row r="18397" ht="13.5" hidden="1"/>
    <row r="18398" ht="13.5" hidden="1"/>
    <row r="18399" ht="13.5" hidden="1"/>
    <row r="18400" ht="13.5" hidden="1"/>
    <row r="18401" ht="13.5" hidden="1"/>
    <row r="18402" ht="13.5" hidden="1"/>
    <row r="18403" ht="13.5" hidden="1"/>
    <row r="18404" ht="13.5" hidden="1"/>
    <row r="18405" ht="13.5" hidden="1"/>
    <row r="18406" ht="13.5" hidden="1"/>
    <row r="18407" ht="13.5" hidden="1"/>
    <row r="18408" ht="13.5" hidden="1"/>
    <row r="18409" ht="13.5" hidden="1"/>
    <row r="18410" ht="13.5" hidden="1"/>
    <row r="18411" ht="13.5" hidden="1"/>
    <row r="18412" ht="13.5" hidden="1"/>
    <row r="18413" ht="13.5" hidden="1"/>
    <row r="18414" ht="13.5" hidden="1"/>
    <row r="18415" ht="13.5" hidden="1"/>
    <row r="18416" ht="13.5" hidden="1"/>
    <row r="18417" ht="13.5" hidden="1"/>
    <row r="18418" ht="13.5" hidden="1"/>
    <row r="18419" ht="13.5" hidden="1"/>
    <row r="18420" ht="13.5" hidden="1"/>
    <row r="18421" ht="13.5" hidden="1"/>
    <row r="18422" ht="13.5" hidden="1"/>
    <row r="18423" ht="13.5" hidden="1"/>
    <row r="18424" ht="13.5" hidden="1"/>
    <row r="18425" ht="13.5" hidden="1"/>
    <row r="18426" ht="13.5" hidden="1"/>
    <row r="18427" ht="13.5" hidden="1"/>
    <row r="18428" ht="13.5" hidden="1"/>
    <row r="18429" ht="13.5" hidden="1"/>
    <row r="18430" ht="13.5" hidden="1"/>
    <row r="18431" ht="13.5" hidden="1"/>
    <row r="18432" ht="13.5" hidden="1"/>
    <row r="18433" ht="13.5" hidden="1"/>
    <row r="18434" ht="13.5" hidden="1"/>
    <row r="18435" ht="13.5" hidden="1"/>
    <row r="18436" ht="13.5" hidden="1"/>
    <row r="18437" ht="13.5" hidden="1"/>
    <row r="18438" ht="13.5" hidden="1"/>
    <row r="18439" ht="13.5" hidden="1"/>
    <row r="18440" ht="13.5" hidden="1"/>
    <row r="18441" ht="13.5" hidden="1"/>
    <row r="18442" ht="13.5" hidden="1"/>
    <row r="18443" ht="13.5" hidden="1"/>
    <row r="18444" ht="13.5" hidden="1"/>
    <row r="18445" ht="13.5" hidden="1"/>
    <row r="18446" ht="13.5" hidden="1"/>
    <row r="18447" ht="13.5" hidden="1"/>
    <row r="18448" ht="13.5" hidden="1"/>
    <row r="18449" ht="13.5" hidden="1"/>
    <row r="18450" ht="13.5" hidden="1"/>
    <row r="18451" ht="13.5" hidden="1"/>
    <row r="18452" ht="13.5" hidden="1"/>
    <row r="18453" ht="13.5" hidden="1"/>
    <row r="18454" ht="13.5" hidden="1"/>
    <row r="18455" ht="13.5" hidden="1"/>
    <row r="18456" ht="13.5" hidden="1"/>
    <row r="18457" ht="13.5" hidden="1"/>
    <row r="18458" ht="13.5" hidden="1"/>
    <row r="18459" ht="13.5" hidden="1"/>
    <row r="18460" ht="13.5" hidden="1"/>
    <row r="18461" ht="13.5" hidden="1"/>
    <row r="18462" ht="13.5" hidden="1"/>
    <row r="18463" ht="13.5" hidden="1"/>
    <row r="18464" ht="13.5" hidden="1"/>
    <row r="18465" ht="13.5" hidden="1"/>
    <row r="18466" ht="13.5" hidden="1"/>
    <row r="18467" ht="13.5" hidden="1"/>
    <row r="18468" ht="13.5" hidden="1"/>
    <row r="18469" ht="13.5" hidden="1"/>
    <row r="18470" ht="13.5" hidden="1"/>
    <row r="18471" ht="13.5" hidden="1"/>
    <row r="18472" ht="13.5" hidden="1"/>
    <row r="18473" ht="13.5" hidden="1"/>
    <row r="18474" ht="13.5" hidden="1"/>
    <row r="18475" ht="13.5" hidden="1"/>
    <row r="18476" ht="13.5" hidden="1"/>
    <row r="18477" ht="13.5" hidden="1"/>
    <row r="18478" ht="13.5" hidden="1"/>
    <row r="18479" ht="13.5" hidden="1"/>
    <row r="18480" ht="13.5" hidden="1"/>
    <row r="18481" ht="13.5" hidden="1"/>
    <row r="18482" ht="13.5" hidden="1"/>
    <row r="18483" ht="13.5" hidden="1"/>
    <row r="18484" ht="13.5" hidden="1"/>
    <row r="18485" ht="13.5" hidden="1"/>
    <row r="18486" ht="13.5" hidden="1"/>
    <row r="18487" ht="13.5" hidden="1"/>
    <row r="18488" ht="13.5" hidden="1"/>
    <row r="18489" ht="13.5" hidden="1"/>
    <row r="18490" ht="13.5" hidden="1"/>
    <row r="18491" ht="13.5" hidden="1"/>
    <row r="18492" ht="13.5" hidden="1"/>
    <row r="18493" ht="13.5" hidden="1"/>
    <row r="18494" ht="13.5" hidden="1"/>
    <row r="18495" ht="13.5" hidden="1"/>
    <row r="18496" ht="13.5" hidden="1"/>
    <row r="18497" ht="13.5" hidden="1"/>
    <row r="18498" ht="13.5" hidden="1"/>
    <row r="18499" ht="13.5" hidden="1"/>
    <row r="18500" ht="13.5" hidden="1"/>
    <row r="18501" ht="13.5" hidden="1"/>
    <row r="18502" ht="13.5" hidden="1"/>
    <row r="18503" ht="13.5" hidden="1"/>
    <row r="18504" ht="13.5" hidden="1"/>
    <row r="18505" ht="13.5" hidden="1"/>
    <row r="18506" ht="13.5" hidden="1"/>
    <row r="18507" ht="13.5" hidden="1"/>
    <row r="18508" ht="13.5" hidden="1"/>
    <row r="18509" ht="13.5" hidden="1"/>
    <row r="18510" ht="13.5" hidden="1"/>
    <row r="18511" ht="13.5" hidden="1"/>
    <row r="18512" ht="13.5" hidden="1"/>
    <row r="18513" ht="13.5" hidden="1"/>
    <row r="18514" ht="13.5" hidden="1"/>
    <row r="18515" ht="13.5" hidden="1"/>
    <row r="18516" ht="13.5" hidden="1"/>
    <row r="18517" ht="13.5" hidden="1"/>
    <row r="18518" ht="13.5" hidden="1"/>
    <row r="18519" ht="13.5" hidden="1"/>
    <row r="18520" ht="13.5" hidden="1"/>
    <row r="18521" ht="13.5" hidden="1"/>
    <row r="18522" ht="13.5" hidden="1"/>
    <row r="18523" ht="13.5" hidden="1"/>
    <row r="18524" ht="13.5" hidden="1"/>
    <row r="18525" ht="13.5" hidden="1"/>
    <row r="18526" ht="13.5" hidden="1"/>
    <row r="18527" ht="13.5" hidden="1"/>
    <row r="18528" ht="13.5" hidden="1"/>
    <row r="18529" ht="13.5" hidden="1"/>
    <row r="18530" ht="13.5" hidden="1"/>
    <row r="18531" ht="13.5" hidden="1"/>
    <row r="18532" ht="13.5" hidden="1"/>
    <row r="18533" ht="13.5" hidden="1"/>
    <row r="18534" ht="13.5" hidden="1"/>
    <row r="18535" ht="13.5" hidden="1"/>
    <row r="18536" ht="13.5" hidden="1"/>
    <row r="18537" ht="13.5" hidden="1"/>
    <row r="18538" ht="13.5" hidden="1"/>
    <row r="18539" ht="13.5" hidden="1"/>
    <row r="18540" ht="13.5" hidden="1"/>
    <row r="18541" ht="13.5" hidden="1"/>
    <row r="18542" ht="13.5" hidden="1"/>
    <row r="18543" ht="13.5" hidden="1"/>
    <row r="18544" ht="13.5" hidden="1"/>
    <row r="18545" ht="13.5" hidden="1"/>
    <row r="18546" ht="13.5" hidden="1"/>
    <row r="18547" ht="13.5" hidden="1"/>
    <row r="18548" ht="13.5" hidden="1"/>
    <row r="18549" ht="13.5" hidden="1"/>
    <row r="18550" ht="13.5" hidden="1"/>
    <row r="18551" ht="13.5" hidden="1"/>
    <row r="18552" ht="13.5" hidden="1"/>
    <row r="18553" ht="13.5" hidden="1"/>
    <row r="18554" ht="13.5" hidden="1"/>
    <row r="18555" ht="13.5" hidden="1"/>
    <row r="18556" ht="13.5" hidden="1"/>
    <row r="18557" ht="13.5" hidden="1"/>
    <row r="18558" ht="13.5" hidden="1"/>
    <row r="18559" ht="13.5" hidden="1"/>
    <row r="18560" ht="13.5" hidden="1"/>
    <row r="18561" ht="13.5" hidden="1"/>
    <row r="18562" ht="13.5" hidden="1"/>
    <row r="18563" ht="13.5" hidden="1"/>
    <row r="18564" ht="13.5" hidden="1"/>
    <row r="18565" ht="13.5" hidden="1"/>
    <row r="18566" ht="13.5" hidden="1"/>
    <row r="18567" ht="13.5" hidden="1"/>
    <row r="18568" ht="13.5" hidden="1"/>
    <row r="18569" ht="13.5" hidden="1"/>
    <row r="18570" ht="13.5" hidden="1"/>
    <row r="18571" ht="13.5" hidden="1"/>
    <row r="18572" ht="13.5" hidden="1"/>
    <row r="18573" ht="13.5" hidden="1"/>
    <row r="18574" ht="13.5" hidden="1"/>
    <row r="18575" ht="13.5" hidden="1"/>
    <row r="18576" ht="13.5" hidden="1"/>
    <row r="18577" ht="13.5" hidden="1"/>
    <row r="18578" ht="13.5" hidden="1"/>
    <row r="18579" ht="13.5" hidden="1"/>
    <row r="18580" ht="13.5" hidden="1"/>
    <row r="18581" ht="13.5" hidden="1"/>
    <row r="18582" ht="13.5" hidden="1"/>
    <row r="18583" ht="13.5" hidden="1"/>
    <row r="18584" ht="13.5" hidden="1"/>
    <row r="18585" ht="13.5" hidden="1"/>
    <row r="18586" ht="13.5" hidden="1"/>
    <row r="18587" ht="13.5" hidden="1"/>
    <row r="18588" ht="13.5" hidden="1"/>
    <row r="18589" ht="13.5" hidden="1"/>
    <row r="18590" ht="13.5" hidden="1"/>
    <row r="18591" ht="13.5" hidden="1"/>
    <row r="18592" ht="13.5" hidden="1"/>
    <row r="18593" ht="13.5" hidden="1"/>
    <row r="18594" ht="13.5" hidden="1"/>
    <row r="18595" ht="13.5" hidden="1"/>
    <row r="18596" ht="13.5" hidden="1"/>
    <row r="18597" ht="13.5" hidden="1"/>
    <row r="18598" ht="13.5" hidden="1"/>
    <row r="18599" ht="13.5" hidden="1"/>
    <row r="18600" ht="13.5" hidden="1"/>
    <row r="18601" ht="13.5" hidden="1"/>
    <row r="18602" ht="13.5" hidden="1"/>
    <row r="18603" ht="13.5" hidden="1"/>
    <row r="18604" ht="13.5" hidden="1"/>
    <row r="18605" ht="13.5" hidden="1"/>
    <row r="18606" ht="13.5" hidden="1"/>
    <row r="18607" ht="13.5" hidden="1"/>
    <row r="18608" ht="13.5" hidden="1"/>
    <row r="18609" ht="13.5" hidden="1"/>
    <row r="18610" ht="13.5" hidden="1"/>
    <row r="18611" ht="13.5" hidden="1"/>
    <row r="18612" ht="13.5" hidden="1"/>
    <row r="18613" ht="13.5" hidden="1"/>
    <row r="18614" ht="13.5" hidden="1"/>
    <row r="18615" ht="13.5" hidden="1"/>
    <row r="18616" ht="13.5" hidden="1"/>
    <row r="18617" ht="13.5" hidden="1"/>
    <row r="18618" ht="13.5" hidden="1"/>
    <row r="18619" ht="13.5" hidden="1"/>
    <row r="18620" ht="13.5" hidden="1"/>
    <row r="18621" ht="13.5" hidden="1"/>
    <row r="18622" ht="13.5" hidden="1"/>
    <row r="18623" ht="13.5" hidden="1"/>
    <row r="18624" ht="13.5" hidden="1"/>
    <row r="18625" ht="13.5" hidden="1"/>
    <row r="18626" ht="13.5" hidden="1"/>
    <row r="18627" ht="13.5" hidden="1"/>
    <row r="18628" ht="13.5" hidden="1"/>
    <row r="18629" ht="13.5" hidden="1"/>
    <row r="18630" ht="13.5" hidden="1"/>
    <row r="18631" ht="13.5" hidden="1"/>
    <row r="18632" ht="13.5" hidden="1"/>
    <row r="18633" ht="13.5" hidden="1"/>
    <row r="18634" ht="13.5" hidden="1"/>
    <row r="18635" ht="13.5" hidden="1"/>
    <row r="18636" ht="13.5" hidden="1"/>
    <row r="18637" ht="13.5" hidden="1"/>
    <row r="18638" ht="13.5" hidden="1"/>
    <row r="18639" ht="13.5" hidden="1"/>
    <row r="18640" ht="13.5" hidden="1"/>
    <row r="18641" ht="13.5" hidden="1"/>
    <row r="18642" ht="13.5" hidden="1"/>
    <row r="18643" ht="13.5" hidden="1"/>
    <row r="18644" ht="13.5" hidden="1"/>
    <row r="18645" ht="13.5" hidden="1"/>
    <row r="18646" ht="13.5" hidden="1"/>
    <row r="18647" ht="13.5" hidden="1"/>
    <row r="18648" ht="13.5" hidden="1"/>
    <row r="18649" ht="13.5" hidden="1"/>
    <row r="18650" ht="13.5" hidden="1"/>
    <row r="18651" ht="13.5" hidden="1"/>
    <row r="18652" ht="13.5" hidden="1"/>
    <row r="18653" ht="13.5" hidden="1"/>
    <row r="18654" ht="13.5" hidden="1"/>
    <row r="18655" ht="13.5" hidden="1"/>
    <row r="18656" ht="13.5" hidden="1"/>
    <row r="18657" ht="13.5" hidden="1"/>
    <row r="18658" ht="13.5" hidden="1"/>
    <row r="18659" ht="13.5" hidden="1"/>
    <row r="18660" ht="13.5" hidden="1"/>
    <row r="18661" ht="13.5" hidden="1"/>
    <row r="18662" ht="13.5" hidden="1"/>
    <row r="18663" ht="13.5" hidden="1"/>
    <row r="18664" ht="13.5" hidden="1"/>
    <row r="18665" ht="13.5" hidden="1"/>
    <row r="18666" ht="13.5" hidden="1"/>
    <row r="18667" ht="13.5" hidden="1"/>
    <row r="18668" ht="13.5" hidden="1"/>
    <row r="18669" ht="13.5" hidden="1"/>
    <row r="18670" ht="13.5" hidden="1"/>
    <row r="18671" ht="13.5" hidden="1"/>
    <row r="18672" ht="13.5" hidden="1"/>
    <row r="18673" ht="13.5" hidden="1"/>
    <row r="18674" ht="13.5" hidden="1"/>
    <row r="18675" ht="13.5" hidden="1"/>
    <row r="18676" ht="13.5" hidden="1"/>
    <row r="18677" ht="13.5" hidden="1"/>
    <row r="18678" ht="13.5" hidden="1"/>
    <row r="18679" ht="13.5" hidden="1"/>
    <row r="18680" ht="13.5" hidden="1"/>
    <row r="18681" ht="13.5" hidden="1"/>
    <row r="18682" ht="13.5" hidden="1"/>
    <row r="18683" ht="13.5" hidden="1"/>
    <row r="18684" ht="13.5" hidden="1"/>
    <row r="18685" ht="13.5" hidden="1"/>
    <row r="18686" ht="13.5" hidden="1"/>
    <row r="18687" ht="13.5" hidden="1"/>
    <row r="18688" ht="13.5" hidden="1"/>
    <row r="18689" ht="13.5" hidden="1"/>
    <row r="18690" ht="13.5" hidden="1"/>
    <row r="18691" ht="13.5" hidden="1"/>
    <row r="18692" ht="13.5" hidden="1"/>
    <row r="18693" ht="13.5" hidden="1"/>
    <row r="18694" ht="13.5" hidden="1"/>
    <row r="18695" ht="13.5" hidden="1"/>
    <row r="18696" ht="13.5" hidden="1"/>
    <row r="18697" ht="13.5" hidden="1"/>
    <row r="18698" ht="13.5" hidden="1"/>
    <row r="18699" ht="13.5" hidden="1"/>
    <row r="18700" ht="13.5" hidden="1"/>
    <row r="18701" ht="13.5" hidden="1"/>
    <row r="18702" ht="13.5" hidden="1"/>
    <row r="18703" ht="13.5" hidden="1"/>
    <row r="18704" ht="13.5" hidden="1"/>
    <row r="18705" ht="13.5" hidden="1"/>
    <row r="18706" ht="13.5" hidden="1"/>
    <row r="18707" ht="13.5" hidden="1"/>
    <row r="18708" ht="13.5" hidden="1"/>
    <row r="18709" ht="13.5" hidden="1"/>
    <row r="18710" ht="13.5" hidden="1"/>
    <row r="18711" ht="13.5" hidden="1"/>
    <row r="18712" ht="13.5" hidden="1"/>
    <row r="18713" ht="13.5" hidden="1"/>
    <row r="18714" ht="13.5" hidden="1"/>
    <row r="18715" ht="13.5" hidden="1"/>
    <row r="18716" ht="13.5" hidden="1"/>
    <row r="18717" ht="13.5" hidden="1"/>
    <row r="18718" ht="13.5" hidden="1"/>
    <row r="18719" ht="13.5" hidden="1"/>
    <row r="18720" ht="13.5" hidden="1"/>
    <row r="18721" ht="13.5" hidden="1"/>
    <row r="18722" ht="13.5" hidden="1"/>
    <row r="18723" ht="13.5" hidden="1"/>
    <row r="18724" ht="13.5" hidden="1"/>
    <row r="18725" ht="13.5" hidden="1"/>
    <row r="18726" ht="13.5" hidden="1"/>
    <row r="18727" ht="13.5" hidden="1"/>
    <row r="18728" ht="13.5" hidden="1"/>
    <row r="18729" ht="13.5" hidden="1"/>
    <row r="18730" ht="13.5" hidden="1"/>
    <row r="18731" ht="13.5" hidden="1"/>
    <row r="18732" ht="13.5" hidden="1"/>
    <row r="18733" ht="13.5" hidden="1"/>
    <row r="18734" ht="13.5" hidden="1"/>
    <row r="18735" ht="13.5" hidden="1"/>
    <row r="18736" ht="13.5" hidden="1"/>
    <row r="18737" ht="13.5" hidden="1"/>
    <row r="18738" ht="13.5" hidden="1"/>
    <row r="18739" ht="13.5" hidden="1"/>
    <row r="18740" ht="13.5" hidden="1"/>
    <row r="18741" ht="13.5" hidden="1"/>
    <row r="18742" ht="13.5" hidden="1"/>
    <row r="18743" ht="13.5" hidden="1"/>
    <row r="18744" ht="13.5" hidden="1"/>
    <row r="18745" ht="13.5" hidden="1"/>
    <row r="18746" ht="13.5" hidden="1"/>
    <row r="18747" ht="13.5" hidden="1"/>
    <row r="18748" ht="13.5" hidden="1"/>
    <row r="18749" ht="13.5" hidden="1"/>
    <row r="18750" ht="13.5" hidden="1"/>
    <row r="18751" ht="13.5" hidden="1"/>
    <row r="18752" ht="13.5" hidden="1"/>
    <row r="18753" ht="13.5" hidden="1"/>
    <row r="18754" ht="13.5" hidden="1"/>
    <row r="18755" ht="13.5" hidden="1"/>
    <row r="18756" ht="13.5" hidden="1"/>
    <row r="18757" ht="13.5" hidden="1"/>
    <row r="18758" ht="13.5" hidden="1"/>
    <row r="18759" ht="13.5" hidden="1"/>
    <row r="18760" ht="13.5" hidden="1"/>
    <row r="18761" ht="13.5" hidden="1"/>
    <row r="18762" ht="13.5" hidden="1"/>
    <row r="18763" ht="13.5" hidden="1"/>
    <row r="18764" ht="13.5" hidden="1"/>
    <row r="18765" ht="13.5" hidden="1"/>
    <row r="18766" ht="13.5" hidden="1"/>
    <row r="18767" ht="13.5" hidden="1"/>
    <row r="18768" ht="13.5" hidden="1"/>
    <row r="18769" ht="13.5" hidden="1"/>
    <row r="18770" ht="13.5" hidden="1"/>
    <row r="18771" ht="13.5" hidden="1"/>
    <row r="18772" ht="13.5" hidden="1"/>
    <row r="18773" ht="13.5" hidden="1"/>
    <row r="18774" ht="13.5" hidden="1"/>
    <row r="18775" ht="13.5" hidden="1"/>
    <row r="18776" ht="13.5" hidden="1"/>
    <row r="18777" ht="13.5" hidden="1"/>
    <row r="18778" ht="13.5" hidden="1"/>
    <row r="18779" ht="13.5" hidden="1"/>
    <row r="18780" ht="13.5" hidden="1"/>
    <row r="18781" ht="13.5" hidden="1"/>
    <row r="18782" ht="13.5" hidden="1"/>
    <row r="18783" ht="13.5" hidden="1"/>
    <row r="18784" ht="13.5" hidden="1"/>
    <row r="18785" ht="13.5" hidden="1"/>
    <row r="18786" ht="13.5" hidden="1"/>
    <row r="18787" ht="13.5" hidden="1"/>
    <row r="18788" ht="13.5" hidden="1"/>
    <row r="18789" ht="13.5" hidden="1"/>
    <row r="18790" ht="13.5" hidden="1"/>
    <row r="18791" ht="13.5" hidden="1"/>
    <row r="18792" ht="13.5" hidden="1"/>
    <row r="18793" ht="13.5" hidden="1"/>
    <row r="18794" ht="13.5" hidden="1"/>
    <row r="18795" ht="13.5" hidden="1"/>
    <row r="18796" ht="13.5" hidden="1"/>
    <row r="18797" ht="13.5" hidden="1"/>
    <row r="18798" ht="13.5" hidden="1"/>
    <row r="18799" ht="13.5" hidden="1"/>
    <row r="18800" ht="13.5" hidden="1"/>
    <row r="18801" ht="13.5" hidden="1"/>
    <row r="18802" ht="13.5" hidden="1"/>
    <row r="18803" ht="13.5" hidden="1"/>
    <row r="18804" ht="13.5" hidden="1"/>
    <row r="18805" ht="13.5" hidden="1"/>
    <row r="18806" ht="13.5" hidden="1"/>
    <row r="18807" ht="13.5" hidden="1"/>
    <row r="18808" ht="13.5" hidden="1"/>
    <row r="18809" ht="13.5" hidden="1"/>
    <row r="18810" ht="13.5" hidden="1"/>
    <row r="18811" ht="13.5" hidden="1"/>
    <row r="18812" ht="13.5" hidden="1"/>
    <row r="18813" ht="13.5" hidden="1"/>
    <row r="18814" ht="13.5" hidden="1"/>
    <row r="18815" ht="13.5" hidden="1"/>
    <row r="18816" ht="13.5" hidden="1"/>
    <row r="18817" ht="13.5" hidden="1"/>
    <row r="18818" ht="13.5" hidden="1"/>
    <row r="18819" ht="13.5" hidden="1"/>
    <row r="18820" ht="13.5" hidden="1"/>
    <row r="18821" ht="13.5" hidden="1"/>
    <row r="18822" ht="13.5" hidden="1"/>
    <row r="18823" ht="13.5" hidden="1"/>
    <row r="18824" ht="13.5" hidden="1"/>
    <row r="18825" ht="13.5" hidden="1"/>
    <row r="18826" ht="13.5" hidden="1"/>
    <row r="18827" ht="13.5" hidden="1"/>
    <row r="18828" ht="13.5" hidden="1"/>
    <row r="18829" ht="13.5" hidden="1"/>
    <row r="18830" ht="13.5" hidden="1"/>
    <row r="18831" ht="13.5" hidden="1"/>
    <row r="18832" ht="13.5" hidden="1"/>
    <row r="18833" ht="13.5" hidden="1"/>
    <row r="18834" ht="13.5" hidden="1"/>
    <row r="18835" ht="13.5" hidden="1"/>
    <row r="18836" ht="13.5" hidden="1"/>
    <row r="18837" ht="13.5" hidden="1"/>
    <row r="18838" ht="13.5" hidden="1"/>
    <row r="18839" ht="13.5" hidden="1"/>
    <row r="18840" ht="13.5" hidden="1"/>
    <row r="18841" ht="13.5" hidden="1"/>
    <row r="18842" ht="13.5" hidden="1"/>
    <row r="18843" ht="13.5" hidden="1"/>
    <row r="18844" ht="13.5" hidden="1"/>
    <row r="18845" ht="13.5" hidden="1"/>
    <row r="18846" ht="13.5" hidden="1"/>
    <row r="18847" ht="13.5" hidden="1"/>
    <row r="18848" ht="13.5" hidden="1"/>
    <row r="18849" ht="13.5" hidden="1"/>
    <row r="18850" ht="13.5" hidden="1"/>
    <row r="18851" ht="13.5" hidden="1"/>
    <row r="18852" ht="13.5" hidden="1"/>
    <row r="18853" ht="13.5" hidden="1"/>
    <row r="18854" ht="13.5" hidden="1"/>
    <row r="18855" ht="13.5" hidden="1"/>
    <row r="18856" ht="13.5" hidden="1"/>
    <row r="18857" ht="13.5" hidden="1"/>
    <row r="18858" ht="13.5" hidden="1"/>
    <row r="18859" ht="13.5" hidden="1"/>
    <row r="18860" ht="13.5" hidden="1"/>
    <row r="18861" ht="13.5" hidden="1"/>
    <row r="18862" ht="13.5" hidden="1"/>
    <row r="18863" ht="13.5" hidden="1"/>
    <row r="18864" ht="13.5" hidden="1"/>
    <row r="18865" ht="13.5" hidden="1"/>
    <row r="18866" ht="13.5" hidden="1"/>
    <row r="18867" ht="13.5" hidden="1"/>
    <row r="18868" ht="13.5" hidden="1"/>
    <row r="18869" ht="13.5" hidden="1"/>
    <row r="18870" ht="13.5" hidden="1"/>
    <row r="18871" ht="13.5" hidden="1"/>
    <row r="18872" ht="13.5" hidden="1"/>
    <row r="18873" ht="13.5" hidden="1"/>
    <row r="18874" ht="13.5" hidden="1"/>
    <row r="18875" ht="13.5" hidden="1"/>
    <row r="18876" ht="13.5" hidden="1"/>
    <row r="18877" ht="13.5" hidden="1"/>
    <row r="18878" ht="13.5" hidden="1"/>
    <row r="18879" ht="13.5" hidden="1"/>
    <row r="18880" ht="13.5" hidden="1"/>
    <row r="18881" ht="13.5" hidden="1"/>
    <row r="18882" ht="13.5" hidden="1"/>
    <row r="18883" ht="13.5" hidden="1"/>
    <row r="18884" ht="13.5" hidden="1"/>
    <row r="18885" ht="13.5" hidden="1"/>
    <row r="18886" ht="13.5" hidden="1"/>
    <row r="18887" ht="13.5" hidden="1"/>
    <row r="18888" ht="13.5" hidden="1"/>
    <row r="18889" ht="13.5" hidden="1"/>
    <row r="18890" ht="13.5" hidden="1"/>
    <row r="18891" ht="13.5" hidden="1"/>
    <row r="18892" ht="13.5" hidden="1"/>
    <row r="18893" ht="13.5" hidden="1"/>
    <row r="18894" ht="13.5" hidden="1"/>
    <row r="18895" ht="13.5" hidden="1"/>
    <row r="18896" ht="13.5" hidden="1"/>
    <row r="18897" ht="13.5" hidden="1"/>
    <row r="18898" ht="13.5" hidden="1"/>
    <row r="18899" ht="13.5" hidden="1"/>
    <row r="18900" ht="13.5" hidden="1"/>
    <row r="18901" ht="13.5" hidden="1"/>
    <row r="18902" ht="13.5" hidden="1"/>
    <row r="18903" ht="13.5" hidden="1"/>
    <row r="18904" ht="13.5" hidden="1"/>
    <row r="18905" ht="13.5" hidden="1"/>
    <row r="18906" ht="13.5" hidden="1"/>
    <row r="18907" ht="13.5" hidden="1"/>
    <row r="18908" ht="13.5" hidden="1"/>
    <row r="18909" ht="13.5" hidden="1"/>
    <row r="18910" ht="13.5" hidden="1"/>
    <row r="18911" ht="13.5" hidden="1"/>
    <row r="18912" ht="13.5" hidden="1"/>
    <row r="18913" ht="13.5" hidden="1"/>
    <row r="18914" ht="13.5" hidden="1"/>
    <row r="18915" ht="13.5" hidden="1"/>
    <row r="18916" ht="13.5" hidden="1"/>
    <row r="18917" ht="13.5" hidden="1"/>
    <row r="18918" ht="13.5" hidden="1"/>
    <row r="18919" ht="13.5" hidden="1"/>
    <row r="18920" ht="13.5" hidden="1"/>
    <row r="18921" ht="13.5" hidden="1"/>
    <row r="18922" ht="13.5" hidden="1"/>
    <row r="18923" ht="13.5" hidden="1"/>
    <row r="18924" ht="13.5" hidden="1"/>
    <row r="18925" ht="13.5" hidden="1"/>
    <row r="18926" ht="13.5" hidden="1"/>
    <row r="18927" ht="13.5" hidden="1"/>
    <row r="18928" ht="13.5" hidden="1"/>
    <row r="18929" ht="13.5" hidden="1"/>
    <row r="18930" ht="13.5" hidden="1"/>
    <row r="18931" ht="13.5" hidden="1"/>
    <row r="18932" ht="13.5" hidden="1"/>
    <row r="18933" ht="13.5" hidden="1"/>
    <row r="18934" ht="13.5" hidden="1"/>
    <row r="18935" ht="13.5" hidden="1"/>
    <row r="18936" ht="13.5" hidden="1"/>
    <row r="18937" ht="13.5" hidden="1"/>
    <row r="18938" ht="13.5" hidden="1"/>
    <row r="18939" ht="13.5" hidden="1"/>
    <row r="18940" ht="13.5" hidden="1"/>
    <row r="18941" ht="13.5" hidden="1"/>
    <row r="18942" ht="13.5" hidden="1"/>
    <row r="18943" ht="13.5" hidden="1"/>
    <row r="18944" ht="13.5" hidden="1"/>
    <row r="18945" ht="13.5" hidden="1"/>
    <row r="18946" ht="13.5" hidden="1"/>
    <row r="18947" ht="13.5" hidden="1"/>
    <row r="18948" ht="13.5" hidden="1"/>
    <row r="18949" ht="13.5" hidden="1"/>
    <row r="18950" ht="13.5" hidden="1"/>
    <row r="18951" ht="13.5" hidden="1"/>
    <row r="18952" ht="13.5" hidden="1"/>
    <row r="18953" ht="13.5" hidden="1"/>
    <row r="18954" ht="13.5" hidden="1"/>
    <row r="18955" ht="13.5" hidden="1"/>
    <row r="18956" ht="13.5" hidden="1"/>
    <row r="18957" ht="13.5" hidden="1"/>
    <row r="18958" ht="13.5" hidden="1"/>
    <row r="18959" ht="13.5" hidden="1"/>
    <row r="18960" ht="13.5" hidden="1"/>
    <row r="18961" ht="13.5" hidden="1"/>
    <row r="18962" ht="13.5" hidden="1"/>
    <row r="18963" ht="13.5" hidden="1"/>
    <row r="18964" ht="13.5" hidden="1"/>
    <row r="18965" ht="13.5" hidden="1"/>
    <row r="18966" ht="13.5" hidden="1"/>
    <row r="18967" ht="13.5" hidden="1"/>
    <row r="18968" ht="13.5" hidden="1"/>
    <row r="18969" ht="13.5" hidden="1"/>
    <row r="18970" ht="13.5" hidden="1"/>
    <row r="18971" ht="13.5" hidden="1"/>
    <row r="18972" ht="13.5" hidden="1"/>
    <row r="18973" ht="13.5" hidden="1"/>
    <row r="18974" ht="13.5" hidden="1"/>
    <row r="18975" ht="13.5" hidden="1"/>
    <row r="18976" ht="13.5" hidden="1"/>
    <row r="18977" ht="13.5" hidden="1"/>
    <row r="18978" ht="13.5" hidden="1"/>
    <row r="18979" ht="13.5" hidden="1"/>
    <row r="18980" ht="13.5" hidden="1"/>
    <row r="18981" ht="13.5" hidden="1"/>
    <row r="18982" ht="13.5" hidden="1"/>
    <row r="18983" ht="13.5" hidden="1"/>
    <row r="18984" ht="13.5" hidden="1"/>
    <row r="18985" ht="13.5" hidden="1"/>
    <row r="18986" ht="13.5" hidden="1"/>
    <row r="18987" ht="13.5" hidden="1"/>
    <row r="18988" ht="13.5" hidden="1"/>
    <row r="18989" ht="13.5" hidden="1"/>
    <row r="18990" ht="13.5" hidden="1"/>
    <row r="18991" ht="13.5" hidden="1"/>
    <row r="18992" ht="13.5" hidden="1"/>
    <row r="18993" ht="13.5" hidden="1"/>
    <row r="18994" ht="13.5" hidden="1"/>
    <row r="18995" ht="13.5" hidden="1"/>
    <row r="18996" ht="13.5" hidden="1"/>
    <row r="18997" ht="13.5" hidden="1"/>
    <row r="18998" ht="13.5" hidden="1"/>
    <row r="18999" ht="13.5" hidden="1"/>
    <row r="19000" ht="13.5" hidden="1"/>
    <row r="19001" ht="13.5" hidden="1"/>
    <row r="19002" ht="13.5" hidden="1"/>
    <row r="19003" ht="13.5" hidden="1"/>
    <row r="19004" ht="13.5" hidden="1"/>
    <row r="19005" ht="13.5" hidden="1"/>
    <row r="19006" ht="13.5" hidden="1"/>
    <row r="19007" ht="13.5" hidden="1"/>
    <row r="19008" ht="13.5" hidden="1"/>
    <row r="19009" ht="13.5" hidden="1"/>
    <row r="19010" ht="13.5" hidden="1"/>
    <row r="19011" ht="13.5" hidden="1"/>
    <row r="19012" ht="13.5" hidden="1"/>
    <row r="19013" ht="13.5" hidden="1"/>
    <row r="19014" ht="13.5" hidden="1"/>
    <row r="19015" ht="13.5" hidden="1"/>
    <row r="19016" ht="13.5" hidden="1"/>
    <row r="19017" ht="13.5" hidden="1"/>
    <row r="19018" ht="13.5" hidden="1"/>
    <row r="19019" ht="13.5" hidden="1"/>
    <row r="19020" ht="13.5" hidden="1"/>
    <row r="19021" ht="13.5" hidden="1"/>
    <row r="19022" ht="13.5" hidden="1"/>
    <row r="19023" ht="13.5" hidden="1"/>
    <row r="19024" ht="13.5" hidden="1"/>
    <row r="19025" ht="13.5" hidden="1"/>
    <row r="19026" ht="13.5" hidden="1"/>
    <row r="19027" ht="13.5" hidden="1"/>
    <row r="19028" ht="13.5" hidden="1"/>
    <row r="19029" ht="13.5" hidden="1"/>
    <row r="19030" ht="13.5" hidden="1"/>
    <row r="19031" ht="13.5" hidden="1"/>
    <row r="19032" ht="13.5" hidden="1"/>
    <row r="19033" ht="13.5" hidden="1"/>
    <row r="19034" ht="13.5" hidden="1"/>
    <row r="19035" ht="13.5" hidden="1"/>
    <row r="19036" ht="13.5" hidden="1"/>
    <row r="19037" ht="13.5" hidden="1"/>
    <row r="19038" ht="13.5" hidden="1"/>
    <row r="19039" ht="13.5" hidden="1"/>
    <row r="19040" ht="13.5" hidden="1"/>
    <row r="19041" ht="13.5" hidden="1"/>
    <row r="19042" ht="13.5" hidden="1"/>
    <row r="19043" ht="13.5" hidden="1"/>
    <row r="19044" ht="13.5" hidden="1"/>
    <row r="19045" ht="13.5" hidden="1"/>
    <row r="19046" ht="13.5" hidden="1"/>
    <row r="19047" ht="13.5" hidden="1"/>
    <row r="19048" ht="13.5" hidden="1"/>
    <row r="19049" ht="13.5" hidden="1"/>
    <row r="19050" ht="13.5" hidden="1"/>
    <row r="19051" ht="13.5" hidden="1"/>
    <row r="19052" ht="13.5" hidden="1"/>
    <row r="19053" ht="13.5" hidden="1"/>
    <row r="19054" ht="13.5" hidden="1"/>
    <row r="19055" ht="13.5" hidden="1"/>
    <row r="19056" ht="13.5" hidden="1"/>
    <row r="19057" ht="13.5" hidden="1"/>
    <row r="19058" ht="13.5" hidden="1"/>
    <row r="19059" ht="13.5" hidden="1"/>
    <row r="19060" ht="13.5" hidden="1"/>
    <row r="19061" ht="13.5" hidden="1"/>
    <row r="19062" ht="13.5" hidden="1"/>
    <row r="19063" ht="13.5" hidden="1"/>
    <row r="19064" ht="13.5" hidden="1"/>
    <row r="19065" ht="13.5" hidden="1"/>
    <row r="19066" ht="13.5" hidden="1"/>
    <row r="19067" ht="13.5" hidden="1"/>
    <row r="19068" ht="13.5" hidden="1"/>
    <row r="19069" ht="13.5" hidden="1"/>
    <row r="19070" ht="13.5" hidden="1"/>
    <row r="19071" ht="13.5" hidden="1"/>
    <row r="19072" ht="13.5" hidden="1"/>
    <row r="19073" ht="13.5" hidden="1"/>
    <row r="19074" ht="13.5" hidden="1"/>
    <row r="19075" ht="13.5" hidden="1"/>
    <row r="19076" ht="13.5" hidden="1"/>
    <row r="19077" ht="13.5" hidden="1"/>
    <row r="19078" ht="13.5" hidden="1"/>
    <row r="19079" ht="13.5" hidden="1"/>
    <row r="19080" ht="13.5" hidden="1"/>
    <row r="19081" ht="13.5" hidden="1"/>
    <row r="19082" ht="13.5" hidden="1"/>
    <row r="19083" ht="13.5" hidden="1"/>
    <row r="19084" ht="13.5" hidden="1"/>
    <row r="19085" ht="13.5" hidden="1"/>
    <row r="19086" ht="13.5" hidden="1"/>
    <row r="19087" ht="13.5" hidden="1"/>
    <row r="19088" ht="13.5" hidden="1"/>
    <row r="19089" ht="13.5" hidden="1"/>
    <row r="19090" ht="13.5" hidden="1"/>
    <row r="19091" ht="13.5" hidden="1"/>
    <row r="19092" ht="13.5" hidden="1"/>
    <row r="19093" ht="13.5" hidden="1"/>
    <row r="19094" ht="13.5" hidden="1"/>
    <row r="19095" ht="13.5" hidden="1"/>
    <row r="19096" ht="13.5" hidden="1"/>
    <row r="19097" ht="13.5" hidden="1"/>
    <row r="19098" ht="13.5" hidden="1"/>
    <row r="19099" ht="13.5" hidden="1"/>
    <row r="19100" ht="13.5" hidden="1"/>
    <row r="19101" ht="13.5" hidden="1"/>
    <row r="19102" ht="13.5" hidden="1"/>
    <row r="19103" ht="13.5" hidden="1"/>
    <row r="19104" ht="13.5" hidden="1"/>
    <row r="19105" ht="13.5" hidden="1"/>
    <row r="19106" ht="13.5" hidden="1"/>
    <row r="19107" ht="13.5" hidden="1"/>
    <row r="19108" ht="13.5" hidden="1"/>
    <row r="19109" ht="13.5" hidden="1"/>
    <row r="19110" ht="13.5" hidden="1"/>
    <row r="19111" ht="13.5" hidden="1"/>
    <row r="19112" ht="13.5" hidden="1"/>
    <row r="19113" ht="13.5" hidden="1"/>
    <row r="19114" ht="13.5" hidden="1"/>
    <row r="19115" ht="13.5" hidden="1"/>
    <row r="19116" ht="13.5" hidden="1"/>
    <row r="19117" ht="13.5" hidden="1"/>
    <row r="19118" ht="13.5" hidden="1"/>
    <row r="19119" ht="13.5" hidden="1"/>
    <row r="19120" ht="13.5" hidden="1"/>
    <row r="19121" ht="13.5" hidden="1"/>
    <row r="19122" ht="13.5" hidden="1"/>
    <row r="19123" ht="13.5" hidden="1"/>
    <row r="19124" ht="13.5" hidden="1"/>
    <row r="19125" ht="13.5" hidden="1"/>
    <row r="19126" ht="13.5" hidden="1"/>
    <row r="19127" ht="13.5" hidden="1"/>
    <row r="19128" ht="13.5" hidden="1"/>
    <row r="19129" ht="13.5" hidden="1"/>
    <row r="19130" ht="13.5" hidden="1"/>
    <row r="19131" ht="13.5" hidden="1"/>
    <row r="19132" ht="13.5" hidden="1"/>
    <row r="19133" ht="13.5" hidden="1"/>
    <row r="19134" ht="13.5" hidden="1"/>
    <row r="19135" ht="13.5" hidden="1"/>
    <row r="19136" ht="13.5" hidden="1"/>
    <row r="19137" ht="13.5" hidden="1"/>
    <row r="19138" ht="13.5" hidden="1"/>
    <row r="19139" ht="13.5" hidden="1"/>
    <row r="19140" ht="13.5" hidden="1"/>
    <row r="19141" ht="13.5" hidden="1"/>
    <row r="19142" ht="13.5" hidden="1"/>
    <row r="19143" ht="13.5" hidden="1"/>
    <row r="19144" ht="13.5" hidden="1"/>
    <row r="19145" ht="13.5" hidden="1"/>
    <row r="19146" ht="13.5" hidden="1"/>
    <row r="19147" ht="13.5" hidden="1"/>
    <row r="19148" ht="13.5" hidden="1"/>
    <row r="19149" ht="13.5" hidden="1"/>
    <row r="19150" ht="13.5" hidden="1"/>
    <row r="19151" ht="13.5" hidden="1"/>
    <row r="19152" ht="13.5" hidden="1"/>
    <row r="19153" ht="13.5" hidden="1"/>
    <row r="19154" ht="13.5" hidden="1"/>
    <row r="19155" ht="13.5" hidden="1"/>
    <row r="19156" ht="13.5" hidden="1"/>
    <row r="19157" ht="13.5" hidden="1"/>
    <row r="19158" ht="13.5" hidden="1"/>
    <row r="19159" ht="13.5" hidden="1"/>
    <row r="19160" ht="13.5" hidden="1"/>
    <row r="19161" ht="13.5" hidden="1"/>
    <row r="19162" ht="13.5" hidden="1"/>
    <row r="19163" ht="13.5" hidden="1"/>
    <row r="19164" ht="13.5" hidden="1"/>
    <row r="19165" ht="13.5" hidden="1"/>
    <row r="19166" ht="13.5" hidden="1"/>
    <row r="19167" ht="13.5" hidden="1"/>
    <row r="19168" ht="13.5" hidden="1"/>
    <row r="19169" ht="13.5" hidden="1"/>
    <row r="19170" ht="13.5" hidden="1"/>
    <row r="19171" ht="13.5" hidden="1"/>
    <row r="19172" ht="13.5" hidden="1"/>
    <row r="19173" ht="13.5" hidden="1"/>
    <row r="19174" ht="13.5" hidden="1"/>
    <row r="19175" ht="13.5" hidden="1"/>
    <row r="19176" ht="13.5" hidden="1"/>
    <row r="19177" ht="13.5" hidden="1"/>
    <row r="19178" ht="13.5" hidden="1"/>
    <row r="19179" ht="13.5" hidden="1"/>
    <row r="19180" ht="13.5" hidden="1"/>
    <row r="19181" ht="13.5" hidden="1"/>
    <row r="19182" ht="13.5" hidden="1"/>
    <row r="19183" ht="13.5" hidden="1"/>
    <row r="19184" ht="13.5" hidden="1"/>
    <row r="19185" ht="13.5" hidden="1"/>
    <row r="19186" ht="13.5" hidden="1"/>
    <row r="19187" ht="13.5" hidden="1"/>
    <row r="19188" ht="13.5" hidden="1"/>
    <row r="19189" ht="13.5" hidden="1"/>
    <row r="19190" ht="13.5" hidden="1"/>
    <row r="19191" ht="13.5" hidden="1"/>
    <row r="19192" ht="13.5" hidden="1"/>
    <row r="19193" ht="13.5" hidden="1"/>
    <row r="19194" ht="13.5" hidden="1"/>
    <row r="19195" ht="13.5" hidden="1"/>
    <row r="19196" ht="13.5" hidden="1"/>
    <row r="19197" ht="13.5" hidden="1"/>
    <row r="19198" ht="13.5" hidden="1"/>
    <row r="19199" ht="13.5" hidden="1"/>
    <row r="19200" ht="13.5" hidden="1"/>
    <row r="19201" ht="13.5" hidden="1"/>
    <row r="19202" ht="13.5" hidden="1"/>
    <row r="19203" ht="13.5" hidden="1"/>
    <row r="19204" ht="13.5" hidden="1"/>
    <row r="19205" ht="13.5" hidden="1"/>
    <row r="19206" ht="13.5" hidden="1"/>
    <row r="19207" ht="13.5" hidden="1"/>
    <row r="19208" ht="13.5" hidden="1"/>
    <row r="19209" ht="13.5" hidden="1"/>
    <row r="19210" ht="13.5" hidden="1"/>
    <row r="19211" ht="13.5" hidden="1"/>
    <row r="19212" ht="13.5" hidden="1"/>
    <row r="19213" ht="13.5" hidden="1"/>
    <row r="19214" ht="13.5" hidden="1"/>
    <row r="19215" ht="13.5" hidden="1"/>
    <row r="19216" ht="13.5" hidden="1"/>
    <row r="19217" ht="13.5" hidden="1"/>
    <row r="19218" ht="13.5" hidden="1"/>
    <row r="19219" ht="13.5" hidden="1"/>
    <row r="19220" ht="13.5" hidden="1"/>
    <row r="19221" ht="13.5" hidden="1"/>
    <row r="19222" ht="13.5" hidden="1"/>
    <row r="19223" ht="13.5" hidden="1"/>
    <row r="19224" ht="13.5" hidden="1"/>
    <row r="19225" ht="13.5" hidden="1"/>
    <row r="19226" ht="13.5" hidden="1"/>
    <row r="19227" ht="13.5" hidden="1"/>
    <row r="19228" ht="13.5" hidden="1"/>
    <row r="19229" ht="13.5" hidden="1"/>
    <row r="19230" ht="13.5" hidden="1"/>
    <row r="19231" ht="13.5" hidden="1"/>
    <row r="19232" ht="13.5" hidden="1"/>
    <row r="19233" ht="13.5" hidden="1"/>
    <row r="19234" ht="13.5" hidden="1"/>
    <row r="19235" ht="13.5" hidden="1"/>
    <row r="19236" ht="13.5" hidden="1"/>
    <row r="19237" ht="13.5" hidden="1"/>
    <row r="19238" ht="13.5" hidden="1"/>
    <row r="19239" ht="13.5" hidden="1"/>
    <row r="19240" ht="13.5" hidden="1"/>
    <row r="19241" ht="13.5" hidden="1"/>
    <row r="19242" ht="13.5" hidden="1"/>
    <row r="19243" ht="13.5" hidden="1"/>
    <row r="19244" ht="13.5" hidden="1"/>
    <row r="19245" ht="13.5" hidden="1"/>
    <row r="19246" ht="13.5" hidden="1"/>
    <row r="19247" ht="13.5" hidden="1"/>
    <row r="19248" ht="13.5" hidden="1"/>
    <row r="19249" ht="13.5" hidden="1"/>
    <row r="19250" ht="13.5" hidden="1"/>
    <row r="19251" ht="13.5" hidden="1"/>
    <row r="19252" ht="13.5" hidden="1"/>
    <row r="19253" ht="13.5" hidden="1"/>
    <row r="19254" ht="13.5" hidden="1"/>
    <row r="19255" ht="13.5" hidden="1"/>
    <row r="19256" ht="13.5" hidden="1"/>
    <row r="19257" ht="13.5" hidden="1"/>
    <row r="19258" ht="13.5" hidden="1"/>
    <row r="19259" ht="13.5" hidden="1"/>
    <row r="19260" ht="13.5" hidden="1"/>
    <row r="19261" ht="13.5" hidden="1"/>
    <row r="19262" ht="13.5" hidden="1"/>
    <row r="19263" ht="13.5" hidden="1"/>
    <row r="19264" ht="13.5" hidden="1"/>
    <row r="19265" ht="13.5" hidden="1"/>
    <row r="19266" ht="13.5" hidden="1"/>
    <row r="19267" ht="13.5" hidden="1"/>
    <row r="19268" ht="13.5" hidden="1"/>
    <row r="19269" ht="13.5" hidden="1"/>
    <row r="19270" ht="13.5" hidden="1"/>
    <row r="19271" ht="13.5" hidden="1"/>
    <row r="19272" ht="13.5" hidden="1"/>
    <row r="19273" ht="13.5" hidden="1"/>
    <row r="19274" ht="13.5" hidden="1"/>
    <row r="19275" ht="13.5" hidden="1"/>
    <row r="19276" ht="13.5" hidden="1"/>
    <row r="19277" ht="13.5" hidden="1"/>
    <row r="19278" ht="13.5" hidden="1"/>
    <row r="19279" ht="13.5" hidden="1"/>
    <row r="19280" ht="13.5" hidden="1"/>
    <row r="19281" ht="13.5" hidden="1"/>
    <row r="19282" ht="13.5" hidden="1"/>
    <row r="19283" ht="13.5" hidden="1"/>
    <row r="19284" ht="13.5" hidden="1"/>
    <row r="19285" ht="13.5" hidden="1"/>
    <row r="19286" ht="13.5" hidden="1"/>
    <row r="19287" ht="13.5" hidden="1"/>
    <row r="19288" ht="13.5" hidden="1"/>
    <row r="19289" ht="13.5" hidden="1"/>
    <row r="19290" ht="13.5" hidden="1"/>
    <row r="19291" ht="13.5" hidden="1"/>
    <row r="19292" ht="13.5" hidden="1"/>
    <row r="19293" ht="13.5" hidden="1"/>
    <row r="19294" ht="13.5" hidden="1"/>
    <row r="19295" ht="13.5" hidden="1"/>
    <row r="19296" ht="13.5" hidden="1"/>
    <row r="19297" ht="13.5" hidden="1"/>
    <row r="19298" ht="13.5" hidden="1"/>
    <row r="19299" ht="13.5" hidden="1"/>
    <row r="19300" ht="13.5" hidden="1"/>
    <row r="19301" ht="13.5" hidden="1"/>
    <row r="19302" ht="13.5" hidden="1"/>
    <row r="19303" ht="13.5" hidden="1"/>
    <row r="19304" ht="13.5" hidden="1"/>
    <row r="19305" ht="13.5" hidden="1"/>
    <row r="19306" ht="13.5" hidden="1"/>
    <row r="19307" ht="13.5" hidden="1"/>
    <row r="19308" ht="13.5" hidden="1"/>
    <row r="19309" ht="13.5" hidden="1"/>
    <row r="19310" ht="13.5" hidden="1"/>
    <row r="19311" ht="13.5" hidden="1"/>
    <row r="19312" ht="13.5" hidden="1"/>
    <row r="19313" ht="13.5" hidden="1"/>
    <row r="19314" ht="13.5" hidden="1"/>
    <row r="19315" ht="13.5" hidden="1"/>
    <row r="19316" ht="13.5" hidden="1"/>
    <row r="19317" ht="13.5" hidden="1"/>
    <row r="19318" ht="13.5" hidden="1"/>
    <row r="19319" ht="13.5" hidden="1"/>
    <row r="19320" ht="13.5" hidden="1"/>
    <row r="19321" ht="13.5" hidden="1"/>
    <row r="19322" ht="13.5" hidden="1"/>
    <row r="19323" ht="13.5" hidden="1"/>
    <row r="19324" ht="13.5" hidden="1"/>
    <row r="19325" ht="13.5" hidden="1"/>
    <row r="19326" ht="13.5" hidden="1"/>
    <row r="19327" ht="13.5" hidden="1"/>
    <row r="19328" ht="13.5" hidden="1"/>
    <row r="19329" ht="13.5" hidden="1"/>
    <row r="19330" ht="13.5" hidden="1"/>
    <row r="19331" ht="13.5" hidden="1"/>
    <row r="19332" ht="13.5" hidden="1"/>
    <row r="19333" ht="13.5" hidden="1"/>
    <row r="19334" ht="13.5" hidden="1"/>
    <row r="19335" ht="13.5" hidden="1"/>
    <row r="19336" ht="13.5" hidden="1"/>
    <row r="19337" ht="13.5" hidden="1"/>
    <row r="19338" ht="13.5" hidden="1"/>
    <row r="19339" ht="13.5" hidden="1"/>
    <row r="19340" ht="13.5" hidden="1"/>
    <row r="19341" ht="13.5" hidden="1"/>
    <row r="19342" ht="13.5" hidden="1"/>
    <row r="19343" ht="13.5" hidden="1"/>
    <row r="19344" ht="13.5" hidden="1"/>
    <row r="19345" ht="13.5" hidden="1"/>
    <row r="19346" ht="13.5" hidden="1"/>
    <row r="19347" ht="13.5" hidden="1"/>
    <row r="19348" ht="13.5" hidden="1"/>
    <row r="19349" ht="13.5" hidden="1"/>
    <row r="19350" ht="13.5" hidden="1"/>
    <row r="19351" ht="13.5" hidden="1"/>
    <row r="19352" ht="13.5" hidden="1"/>
    <row r="19353" ht="13.5" hidden="1"/>
    <row r="19354" ht="13.5" hidden="1"/>
    <row r="19355" ht="13.5" hidden="1"/>
    <row r="19356" ht="13.5" hidden="1"/>
    <row r="19357" ht="13.5" hidden="1"/>
    <row r="19358" ht="13.5" hidden="1"/>
    <row r="19359" ht="13.5" hidden="1"/>
    <row r="19360" ht="13.5" hidden="1"/>
    <row r="19361" ht="13.5" hidden="1"/>
    <row r="19362" ht="13.5" hidden="1"/>
    <row r="19363" ht="13.5" hidden="1"/>
    <row r="19364" ht="13.5" hidden="1"/>
    <row r="19365" ht="13.5" hidden="1"/>
    <row r="19366" ht="13.5" hidden="1"/>
    <row r="19367" ht="13.5" hidden="1"/>
    <row r="19368" ht="13.5" hidden="1"/>
    <row r="19369" ht="13.5" hidden="1"/>
    <row r="19370" ht="13.5" hidden="1"/>
    <row r="19371" ht="13.5" hidden="1"/>
    <row r="19372" ht="13.5" hidden="1"/>
    <row r="19373" ht="13.5" hidden="1"/>
    <row r="19374" ht="13.5" hidden="1"/>
    <row r="19375" ht="13.5" hidden="1"/>
    <row r="19376" ht="13.5" hidden="1"/>
    <row r="19377" ht="13.5" hidden="1"/>
    <row r="19378" ht="13.5" hidden="1"/>
    <row r="19379" ht="13.5" hidden="1"/>
    <row r="19380" ht="13.5" hidden="1"/>
    <row r="19381" ht="13.5" hidden="1"/>
    <row r="19382" ht="13.5" hidden="1"/>
    <row r="19383" ht="13.5" hidden="1"/>
    <row r="19384" ht="13.5" hidden="1"/>
    <row r="19385" ht="13.5" hidden="1"/>
    <row r="19386" ht="13.5" hidden="1"/>
    <row r="19387" ht="13.5" hidden="1"/>
    <row r="19388" ht="13.5" hidden="1"/>
    <row r="19389" ht="13.5" hidden="1"/>
    <row r="19390" ht="13.5" hidden="1"/>
    <row r="19391" ht="13.5" hidden="1"/>
    <row r="19392" ht="13.5" hidden="1"/>
    <row r="19393" ht="13.5" hidden="1"/>
    <row r="19394" ht="13.5" hidden="1"/>
    <row r="19395" ht="13.5" hidden="1"/>
    <row r="19396" ht="13.5" hidden="1"/>
    <row r="19397" ht="13.5" hidden="1"/>
    <row r="19398" ht="13.5" hidden="1"/>
    <row r="19399" ht="13.5" hidden="1"/>
    <row r="19400" ht="13.5" hidden="1"/>
    <row r="19401" ht="13.5" hidden="1"/>
    <row r="19402" ht="13.5" hidden="1"/>
    <row r="19403" ht="13.5" hidden="1"/>
    <row r="19404" ht="13.5" hidden="1"/>
    <row r="19405" ht="13.5" hidden="1"/>
    <row r="19406" ht="13.5" hidden="1"/>
    <row r="19407" ht="13.5" hidden="1"/>
    <row r="19408" ht="13.5" hidden="1"/>
    <row r="19409" ht="13.5" hidden="1"/>
    <row r="19410" ht="13.5" hidden="1"/>
    <row r="19411" ht="13.5" hidden="1"/>
    <row r="19412" ht="13.5" hidden="1"/>
    <row r="19413" ht="13.5" hidden="1"/>
    <row r="19414" ht="13.5" hidden="1"/>
    <row r="19415" ht="13.5" hidden="1"/>
    <row r="19416" ht="13.5" hidden="1"/>
    <row r="19417" ht="13.5" hidden="1"/>
    <row r="19418" ht="13.5" hidden="1"/>
    <row r="19419" ht="13.5" hidden="1"/>
    <row r="19420" ht="13.5" hidden="1"/>
    <row r="19421" ht="13.5" hidden="1"/>
    <row r="19422" ht="13.5" hidden="1"/>
    <row r="19423" ht="13.5" hidden="1"/>
    <row r="19424" ht="13.5" hidden="1"/>
    <row r="19425" ht="13.5" hidden="1"/>
    <row r="19426" ht="13.5" hidden="1"/>
    <row r="19427" ht="13.5" hidden="1"/>
    <row r="19428" ht="13.5" hidden="1"/>
    <row r="19429" ht="13.5" hidden="1"/>
    <row r="19430" ht="13.5" hidden="1"/>
    <row r="19431" ht="13.5" hidden="1"/>
    <row r="19432" ht="13.5" hidden="1"/>
    <row r="19433" ht="13.5" hidden="1"/>
    <row r="19434" ht="13.5" hidden="1"/>
    <row r="19435" ht="13.5" hidden="1"/>
    <row r="19436" ht="13.5" hidden="1"/>
    <row r="19437" ht="13.5" hidden="1"/>
    <row r="19438" ht="13.5" hidden="1"/>
    <row r="19439" ht="13.5" hidden="1"/>
    <row r="19440" ht="13.5" hidden="1"/>
    <row r="19441" ht="13.5" hidden="1"/>
    <row r="19442" ht="13.5" hidden="1"/>
    <row r="19443" ht="13.5" hidden="1"/>
    <row r="19444" ht="13.5" hidden="1"/>
    <row r="19445" ht="13.5" hidden="1"/>
    <row r="19446" ht="13.5" hidden="1"/>
    <row r="19447" ht="13.5" hidden="1"/>
    <row r="19448" ht="13.5" hidden="1"/>
    <row r="19449" ht="13.5" hidden="1"/>
    <row r="19450" ht="13.5" hidden="1"/>
    <row r="19451" ht="13.5" hidden="1"/>
    <row r="19452" ht="13.5" hidden="1"/>
    <row r="19453" ht="13.5" hidden="1"/>
    <row r="19454" ht="13.5" hidden="1"/>
    <row r="19455" ht="13.5" hidden="1"/>
    <row r="19456" ht="13.5" hidden="1"/>
    <row r="19457" ht="13.5" hidden="1"/>
    <row r="19458" ht="13.5" hidden="1"/>
    <row r="19459" ht="13.5" hidden="1"/>
    <row r="19460" ht="13.5" hidden="1"/>
    <row r="19461" ht="13.5" hidden="1"/>
    <row r="19462" ht="13.5" hidden="1"/>
    <row r="19463" ht="13.5" hidden="1"/>
    <row r="19464" ht="13.5" hidden="1"/>
    <row r="19465" ht="13.5" hidden="1"/>
    <row r="19466" ht="13.5" hidden="1"/>
    <row r="19467" ht="13.5" hidden="1"/>
    <row r="19468" ht="13.5" hidden="1"/>
    <row r="19469" ht="13.5" hidden="1"/>
    <row r="19470" ht="13.5" hidden="1"/>
    <row r="19471" ht="13.5" hidden="1"/>
    <row r="19472" ht="13.5" hidden="1"/>
    <row r="19473" ht="13.5" hidden="1"/>
    <row r="19474" ht="13.5" hidden="1"/>
    <row r="19475" ht="13.5" hidden="1"/>
    <row r="19476" ht="13.5" hidden="1"/>
    <row r="19477" ht="13.5" hidden="1"/>
    <row r="19478" ht="13.5" hidden="1"/>
    <row r="19479" ht="13.5" hidden="1"/>
    <row r="19480" ht="13.5" hidden="1"/>
    <row r="19481" ht="13.5" hidden="1"/>
    <row r="19482" ht="13.5" hidden="1"/>
    <row r="19483" ht="13.5" hidden="1"/>
    <row r="19484" ht="13.5" hidden="1"/>
    <row r="19485" ht="13.5" hidden="1"/>
    <row r="19486" ht="13.5" hidden="1"/>
    <row r="19487" ht="13.5" hidden="1"/>
    <row r="19488" ht="13.5" hidden="1"/>
    <row r="19489" ht="13.5" hidden="1"/>
    <row r="19490" ht="13.5" hidden="1"/>
    <row r="19491" ht="13.5" hidden="1"/>
    <row r="19492" ht="13.5" hidden="1"/>
    <row r="19493" ht="13.5" hidden="1"/>
    <row r="19494" ht="13.5" hidden="1"/>
    <row r="19495" ht="13.5" hidden="1"/>
    <row r="19496" ht="13.5" hidden="1"/>
    <row r="19497" ht="13.5" hidden="1"/>
    <row r="19498" ht="13.5" hidden="1"/>
    <row r="19499" ht="13.5" hidden="1"/>
    <row r="19500" ht="13.5" hidden="1"/>
    <row r="19501" ht="13.5" hidden="1"/>
    <row r="19502" ht="13.5" hidden="1"/>
    <row r="19503" ht="13.5" hidden="1"/>
    <row r="19504" ht="13.5" hidden="1"/>
    <row r="19505" ht="13.5" hidden="1"/>
    <row r="19506" ht="13.5" hidden="1"/>
    <row r="19507" ht="13.5" hidden="1"/>
    <row r="19508" ht="13.5" hidden="1"/>
    <row r="19509" ht="13.5" hidden="1"/>
    <row r="19510" ht="13.5" hidden="1"/>
    <row r="19511" ht="13.5" hidden="1"/>
    <row r="19512" ht="13.5" hidden="1"/>
    <row r="19513" ht="13.5" hidden="1"/>
    <row r="19514" ht="13.5" hidden="1"/>
    <row r="19515" ht="13.5" hidden="1"/>
    <row r="19516" ht="13.5" hidden="1"/>
    <row r="19517" ht="13.5" hidden="1"/>
    <row r="19518" ht="13.5" hidden="1"/>
    <row r="19519" ht="13.5" hidden="1"/>
    <row r="19520" ht="13.5" hidden="1"/>
    <row r="19521" ht="13.5" hidden="1"/>
    <row r="19522" ht="13.5" hidden="1"/>
    <row r="19523" ht="13.5" hidden="1"/>
    <row r="19524" ht="13.5" hidden="1"/>
    <row r="19525" ht="13.5" hidden="1"/>
    <row r="19526" ht="13.5" hidden="1"/>
    <row r="19527" ht="13.5" hidden="1"/>
    <row r="19528" ht="13.5" hidden="1"/>
    <row r="19529" ht="13.5" hidden="1"/>
    <row r="19530" ht="13.5" hidden="1"/>
    <row r="19531" ht="13.5" hidden="1"/>
    <row r="19532" ht="13.5" hidden="1"/>
    <row r="19533" ht="13.5" hidden="1"/>
    <row r="19534" ht="13.5" hidden="1"/>
    <row r="19535" ht="13.5" hidden="1"/>
    <row r="19536" ht="13.5" hidden="1"/>
    <row r="19537" ht="13.5" hidden="1"/>
    <row r="19538" ht="13.5" hidden="1"/>
    <row r="19539" ht="13.5" hidden="1"/>
    <row r="19540" ht="13.5" hidden="1"/>
    <row r="19541" ht="13.5" hidden="1"/>
    <row r="19542" ht="13.5" hidden="1"/>
    <row r="19543" ht="13.5" hidden="1"/>
    <row r="19544" ht="13.5" hidden="1"/>
    <row r="19545" ht="13.5" hidden="1"/>
    <row r="19546" ht="13.5" hidden="1"/>
    <row r="19547" ht="13.5" hidden="1"/>
    <row r="19548" ht="13.5" hidden="1"/>
    <row r="19549" ht="13.5" hidden="1"/>
    <row r="19550" ht="13.5" hidden="1"/>
    <row r="19551" ht="13.5" hidden="1"/>
    <row r="19552" ht="13.5" hidden="1"/>
    <row r="19553" ht="13.5" hidden="1"/>
    <row r="19554" ht="13.5" hidden="1"/>
    <row r="19555" ht="13.5" hidden="1"/>
    <row r="19556" ht="13.5" hidden="1"/>
    <row r="19557" ht="13.5" hidden="1"/>
    <row r="19558" ht="13.5" hidden="1"/>
    <row r="19559" ht="13.5" hidden="1"/>
    <row r="19560" ht="13.5" hidden="1"/>
    <row r="19561" ht="13.5" hidden="1"/>
    <row r="19562" ht="13.5" hidden="1"/>
    <row r="19563" ht="13.5" hidden="1"/>
    <row r="19564" ht="13.5" hidden="1"/>
    <row r="19565" ht="13.5" hidden="1"/>
    <row r="19566" ht="13.5" hidden="1"/>
    <row r="19567" ht="13.5" hidden="1"/>
    <row r="19568" ht="13.5" hidden="1"/>
    <row r="19569" ht="13.5" hidden="1"/>
    <row r="19570" ht="13.5" hidden="1"/>
    <row r="19571" ht="13.5" hidden="1"/>
    <row r="19572" ht="13.5" hidden="1"/>
    <row r="19573" ht="13.5" hidden="1"/>
    <row r="19574" ht="13.5" hidden="1"/>
    <row r="19575" ht="13.5" hidden="1"/>
    <row r="19576" ht="13.5" hidden="1"/>
    <row r="19577" ht="13.5" hidden="1"/>
    <row r="19578" ht="13.5" hidden="1"/>
    <row r="19579" ht="13.5" hidden="1"/>
    <row r="19580" ht="13.5" hidden="1"/>
    <row r="19581" ht="13.5" hidden="1"/>
    <row r="19582" ht="13.5" hidden="1"/>
    <row r="19583" ht="13.5" hidden="1"/>
    <row r="19584" ht="13.5" hidden="1"/>
    <row r="19585" ht="13.5" hidden="1"/>
    <row r="19586" ht="13.5" hidden="1"/>
    <row r="19587" ht="13.5" hidden="1"/>
    <row r="19588" ht="13.5" hidden="1"/>
    <row r="19589" ht="13.5" hidden="1"/>
    <row r="19590" ht="13.5" hidden="1"/>
    <row r="19591" ht="13.5" hidden="1"/>
    <row r="19592" ht="13.5" hidden="1"/>
    <row r="19593" ht="13.5" hidden="1"/>
    <row r="19594" ht="13.5" hidden="1"/>
    <row r="19595" ht="13.5" hidden="1"/>
    <row r="19596" ht="13.5" hidden="1"/>
    <row r="19597" ht="13.5" hidden="1"/>
    <row r="19598" ht="13.5" hidden="1"/>
    <row r="19599" ht="13.5" hidden="1"/>
    <row r="19600" ht="13.5" hidden="1"/>
    <row r="19601" ht="13.5" hidden="1"/>
    <row r="19602" ht="13.5" hidden="1"/>
    <row r="19603" ht="13.5" hidden="1"/>
    <row r="19604" ht="13.5" hidden="1"/>
    <row r="19605" ht="13.5" hidden="1"/>
    <row r="19606" ht="13.5" hidden="1"/>
    <row r="19607" ht="13.5" hidden="1"/>
    <row r="19608" ht="13.5" hidden="1"/>
    <row r="19609" ht="13.5" hidden="1"/>
    <row r="19610" ht="13.5" hidden="1"/>
    <row r="19611" ht="13.5" hidden="1"/>
    <row r="19612" ht="13.5" hidden="1"/>
    <row r="19613" ht="13.5" hidden="1"/>
    <row r="19614" ht="13.5" hidden="1"/>
    <row r="19615" ht="13.5" hidden="1"/>
    <row r="19616" ht="13.5" hidden="1"/>
    <row r="19617" ht="13.5" hidden="1"/>
    <row r="19618" ht="13.5" hidden="1"/>
    <row r="19619" ht="13.5" hidden="1"/>
    <row r="19620" ht="13.5" hidden="1"/>
    <row r="19621" ht="13.5" hidden="1"/>
    <row r="19622" ht="13.5" hidden="1"/>
    <row r="19623" ht="13.5" hidden="1"/>
    <row r="19624" ht="13.5" hidden="1"/>
    <row r="19625" ht="13.5" hidden="1"/>
    <row r="19626" ht="13.5" hidden="1"/>
    <row r="19627" ht="13.5" hidden="1"/>
    <row r="19628" ht="13.5" hidden="1"/>
    <row r="19629" ht="13.5" hidden="1"/>
    <row r="19630" ht="13.5" hidden="1"/>
    <row r="19631" ht="13.5" hidden="1"/>
    <row r="19632" ht="13.5" hidden="1"/>
    <row r="19633" ht="13.5" hidden="1"/>
    <row r="19634" ht="13.5" hidden="1"/>
    <row r="19635" ht="13.5" hidden="1"/>
    <row r="19636" ht="13.5" hidden="1"/>
    <row r="19637" ht="13.5" hidden="1"/>
    <row r="19638" ht="13.5" hidden="1"/>
    <row r="19639" ht="13.5" hidden="1"/>
    <row r="19640" ht="13.5" hidden="1"/>
    <row r="19641" ht="13.5" hidden="1"/>
    <row r="19642" ht="13.5" hidden="1"/>
    <row r="19643" ht="13.5" hidden="1"/>
    <row r="19644" ht="13.5" hidden="1"/>
    <row r="19645" ht="13.5" hidden="1"/>
    <row r="19646" ht="13.5" hidden="1"/>
    <row r="19647" ht="13.5" hidden="1"/>
    <row r="19648" ht="13.5" hidden="1"/>
    <row r="19649" ht="13.5" hidden="1"/>
    <row r="19650" ht="13.5" hidden="1"/>
    <row r="19651" ht="13.5" hidden="1"/>
    <row r="19652" ht="13.5" hidden="1"/>
    <row r="19653" ht="13.5" hidden="1"/>
    <row r="19654" ht="13.5" hidden="1"/>
    <row r="19655" ht="13.5" hidden="1"/>
    <row r="19656" ht="13.5" hidden="1"/>
    <row r="19657" ht="13.5" hidden="1"/>
    <row r="19658" ht="13.5" hidden="1"/>
    <row r="19659" ht="13.5" hidden="1"/>
    <row r="19660" ht="13.5" hidden="1"/>
    <row r="19661" ht="13.5" hidden="1"/>
    <row r="19662" ht="13.5" hidden="1"/>
    <row r="19663" ht="13.5" hidden="1"/>
    <row r="19664" ht="13.5" hidden="1"/>
    <row r="19665" ht="13.5" hidden="1"/>
    <row r="19666" ht="13.5" hidden="1"/>
    <row r="19667" ht="13.5" hidden="1"/>
    <row r="19668" ht="13.5" hidden="1"/>
    <row r="19669" ht="13.5" hidden="1"/>
    <row r="19670" ht="13.5" hidden="1"/>
    <row r="19671" ht="13.5" hidden="1"/>
    <row r="19672" ht="13.5" hidden="1"/>
    <row r="19673" ht="13.5" hidden="1"/>
    <row r="19674" ht="13.5" hidden="1"/>
    <row r="19675" ht="13.5" hidden="1"/>
    <row r="19676" ht="13.5" hidden="1"/>
    <row r="19677" ht="13.5" hidden="1"/>
    <row r="19678" ht="13.5" hidden="1"/>
    <row r="19679" ht="13.5" hidden="1"/>
    <row r="19680" ht="13.5" hidden="1"/>
    <row r="19681" ht="13.5" hidden="1"/>
    <row r="19682" ht="13.5" hidden="1"/>
    <row r="19683" ht="13.5" hidden="1"/>
    <row r="19684" ht="13.5" hidden="1"/>
    <row r="19685" ht="13.5" hidden="1"/>
    <row r="19686" ht="13.5" hidden="1"/>
    <row r="19687" ht="13.5" hidden="1"/>
    <row r="19688" ht="13.5" hidden="1"/>
    <row r="19689" ht="13.5" hidden="1"/>
    <row r="19690" ht="13.5" hidden="1"/>
    <row r="19691" ht="13.5" hidden="1"/>
    <row r="19692" ht="13.5" hidden="1"/>
    <row r="19693" ht="13.5" hidden="1"/>
    <row r="19694" ht="13.5" hidden="1"/>
    <row r="19695" ht="13.5" hidden="1"/>
    <row r="19696" ht="13.5" hidden="1"/>
    <row r="19697" ht="13.5" hidden="1"/>
    <row r="19698" ht="13.5" hidden="1"/>
    <row r="19699" ht="13.5" hidden="1"/>
    <row r="19700" ht="13.5" hidden="1"/>
    <row r="19701" ht="13.5" hidden="1"/>
    <row r="19702" ht="13.5" hidden="1"/>
    <row r="19703" ht="13.5" hidden="1"/>
    <row r="19704" ht="13.5" hidden="1"/>
    <row r="19705" ht="13.5" hidden="1"/>
    <row r="19706" ht="13.5" hidden="1"/>
    <row r="19707" ht="13.5" hidden="1"/>
    <row r="19708" ht="13.5" hidden="1"/>
    <row r="19709" ht="13.5" hidden="1"/>
    <row r="19710" ht="13.5" hidden="1"/>
    <row r="19711" ht="13.5" hidden="1"/>
    <row r="19712" ht="13.5" hidden="1"/>
    <row r="19713" ht="13.5" hidden="1"/>
    <row r="19714" ht="13.5" hidden="1"/>
    <row r="19715" ht="13.5" hidden="1"/>
    <row r="19716" ht="13.5" hidden="1"/>
    <row r="19717" ht="13.5" hidden="1"/>
    <row r="19718" ht="13.5" hidden="1"/>
    <row r="19719" ht="13.5" hidden="1"/>
    <row r="19720" ht="13.5" hidden="1"/>
    <row r="19721" ht="13.5" hidden="1"/>
    <row r="19722" ht="13.5" hidden="1"/>
    <row r="19723" ht="13.5" hidden="1"/>
    <row r="19724" ht="13.5" hidden="1"/>
    <row r="19725" ht="13.5" hidden="1"/>
    <row r="19726" ht="13.5" hidden="1"/>
    <row r="19727" ht="13.5" hidden="1"/>
    <row r="19728" ht="13.5" hidden="1"/>
    <row r="19729" ht="13.5" hidden="1"/>
    <row r="19730" ht="13.5" hidden="1"/>
    <row r="19731" ht="13.5" hidden="1"/>
    <row r="19732" ht="13.5" hidden="1"/>
    <row r="19733" ht="13.5" hidden="1"/>
    <row r="19734" ht="13.5" hidden="1"/>
    <row r="19735" ht="13.5" hidden="1"/>
    <row r="19736" ht="13.5" hidden="1"/>
    <row r="19737" ht="13.5" hidden="1"/>
    <row r="19738" ht="13.5" hidden="1"/>
    <row r="19739" ht="13.5" hidden="1"/>
    <row r="19740" ht="13.5" hidden="1"/>
    <row r="19741" ht="13.5" hidden="1"/>
    <row r="19742" ht="13.5" hidden="1"/>
    <row r="19743" ht="13.5" hidden="1"/>
    <row r="19744" ht="13.5" hidden="1"/>
    <row r="19745" ht="13.5" hidden="1"/>
    <row r="19746" ht="13.5" hidden="1"/>
    <row r="19747" ht="13.5" hidden="1"/>
    <row r="19748" ht="13.5" hidden="1"/>
    <row r="19749" ht="13.5" hidden="1"/>
    <row r="19750" ht="13.5" hidden="1"/>
    <row r="19751" ht="13.5" hidden="1"/>
    <row r="19752" ht="13.5" hidden="1"/>
    <row r="19753" ht="13.5" hidden="1"/>
    <row r="19754" ht="13.5" hidden="1"/>
    <row r="19755" ht="13.5" hidden="1"/>
    <row r="19756" ht="13.5" hidden="1"/>
    <row r="19757" ht="13.5" hidden="1"/>
    <row r="19758" ht="13.5" hidden="1"/>
    <row r="19759" ht="13.5" hidden="1"/>
    <row r="19760" ht="13.5" hidden="1"/>
    <row r="19761" ht="13.5" hidden="1"/>
    <row r="19762" ht="13.5" hidden="1"/>
    <row r="19763" ht="13.5" hidden="1"/>
    <row r="19764" ht="13.5" hidden="1"/>
    <row r="19765" ht="13.5" hidden="1"/>
    <row r="19766" ht="13.5" hidden="1"/>
    <row r="19767" ht="13.5" hidden="1"/>
    <row r="19768" ht="13.5" hidden="1"/>
    <row r="19769" ht="13.5" hidden="1"/>
    <row r="19770" ht="13.5" hidden="1"/>
    <row r="19771" ht="13.5" hidden="1"/>
    <row r="19772" ht="13.5" hidden="1"/>
    <row r="19773" ht="13.5" hidden="1"/>
    <row r="19774" ht="13.5" hidden="1"/>
    <row r="19775" ht="13.5" hidden="1"/>
    <row r="19776" ht="13.5" hidden="1"/>
    <row r="19777" ht="13.5" hidden="1"/>
    <row r="19778" ht="13.5" hidden="1"/>
    <row r="19779" ht="13.5" hidden="1"/>
    <row r="19780" ht="13.5" hidden="1"/>
    <row r="19781" ht="13.5" hidden="1"/>
    <row r="19782" ht="13.5" hidden="1"/>
    <row r="19783" ht="13.5" hidden="1"/>
    <row r="19784" ht="13.5" hidden="1"/>
    <row r="19785" ht="13.5" hidden="1"/>
    <row r="19786" ht="13.5" hidden="1"/>
    <row r="19787" ht="13.5" hidden="1"/>
    <row r="19788" ht="13.5" hidden="1"/>
    <row r="19789" ht="13.5" hidden="1"/>
    <row r="19790" ht="13.5" hidden="1"/>
    <row r="19791" ht="13.5" hidden="1"/>
    <row r="19792" ht="13.5" hidden="1"/>
    <row r="19793" ht="13.5" hidden="1"/>
    <row r="19794" ht="13.5" hidden="1"/>
    <row r="19795" ht="13.5" hidden="1"/>
    <row r="19796" ht="13.5" hidden="1"/>
    <row r="19797" ht="13.5" hidden="1"/>
    <row r="19798" ht="13.5" hidden="1"/>
    <row r="19799" ht="13.5" hidden="1"/>
    <row r="19800" ht="13.5" hidden="1"/>
    <row r="19801" ht="13.5" hidden="1"/>
    <row r="19802" ht="13.5" hidden="1"/>
    <row r="19803" ht="13.5" hidden="1"/>
    <row r="19804" ht="13.5" hidden="1"/>
    <row r="19805" ht="13.5" hidden="1"/>
    <row r="19806" ht="13.5" hidden="1"/>
    <row r="19807" ht="13.5" hidden="1"/>
    <row r="19808" ht="13.5" hidden="1"/>
    <row r="19809" ht="13.5" hidden="1"/>
    <row r="19810" ht="13.5" hidden="1"/>
    <row r="19811" ht="13.5" hidden="1"/>
    <row r="19812" ht="13.5" hidden="1"/>
    <row r="19813" ht="13.5" hidden="1"/>
    <row r="19814" ht="13.5" hidden="1"/>
    <row r="19815" ht="13.5" hidden="1"/>
    <row r="19816" ht="13.5" hidden="1"/>
    <row r="19817" ht="13.5" hidden="1"/>
    <row r="19818" ht="13.5" hidden="1"/>
    <row r="19819" ht="13.5" hidden="1"/>
    <row r="19820" ht="13.5" hidden="1"/>
    <row r="19821" ht="13.5" hidden="1"/>
    <row r="19822" ht="13.5" hidden="1"/>
    <row r="19823" ht="13.5" hidden="1"/>
    <row r="19824" ht="13.5" hidden="1"/>
    <row r="19825" ht="13.5" hidden="1"/>
    <row r="19826" ht="13.5" hidden="1"/>
    <row r="19827" ht="13.5" hidden="1"/>
    <row r="19828" ht="13.5" hidden="1"/>
    <row r="19829" ht="13.5" hidden="1"/>
    <row r="19830" ht="13.5" hidden="1"/>
    <row r="19831" ht="13.5" hidden="1"/>
    <row r="19832" ht="13.5" hidden="1"/>
    <row r="19833" ht="13.5" hidden="1"/>
    <row r="19834" ht="13.5" hidden="1"/>
    <row r="19835" ht="13.5" hidden="1"/>
    <row r="19836" ht="13.5" hidden="1"/>
    <row r="19837" ht="13.5" hidden="1"/>
    <row r="19838" ht="13.5" hidden="1"/>
    <row r="19839" ht="13.5" hidden="1"/>
    <row r="19840" ht="13.5" hidden="1"/>
    <row r="19841" ht="13.5" hidden="1"/>
    <row r="19842" ht="13.5" hidden="1"/>
    <row r="19843" ht="13.5" hidden="1"/>
    <row r="19844" ht="13.5" hidden="1"/>
    <row r="19845" ht="13.5" hidden="1"/>
    <row r="19846" ht="13.5" hidden="1"/>
    <row r="19847" ht="13.5" hidden="1"/>
    <row r="19848" ht="13.5" hidden="1"/>
    <row r="19849" ht="13.5" hidden="1"/>
    <row r="19850" ht="13.5" hidden="1"/>
    <row r="19851" ht="13.5" hidden="1"/>
    <row r="19852" ht="13.5" hidden="1"/>
    <row r="19853" ht="13.5" hidden="1"/>
    <row r="19854" ht="13.5" hidden="1"/>
    <row r="19855" ht="13.5" hidden="1"/>
    <row r="19856" ht="13.5" hidden="1"/>
    <row r="19857" ht="13.5" hidden="1"/>
    <row r="19858" ht="13.5" hidden="1"/>
    <row r="19859" ht="13.5" hidden="1"/>
    <row r="19860" ht="13.5" hidden="1"/>
    <row r="19861" ht="13.5" hidden="1"/>
    <row r="19862" ht="13.5" hidden="1"/>
    <row r="19863" ht="13.5" hidden="1"/>
    <row r="19864" ht="13.5" hidden="1"/>
    <row r="19865" ht="13.5" hidden="1"/>
    <row r="19866" ht="13.5" hidden="1"/>
    <row r="19867" ht="13.5" hidden="1"/>
    <row r="19868" ht="13.5" hidden="1"/>
    <row r="19869" ht="13.5" hidden="1"/>
    <row r="19870" ht="13.5" hidden="1"/>
    <row r="19871" ht="13.5" hidden="1"/>
    <row r="19872" ht="13.5" hidden="1"/>
    <row r="19873" ht="13.5" hidden="1"/>
    <row r="19874" ht="13.5" hidden="1"/>
    <row r="19875" ht="13.5" hidden="1"/>
    <row r="19876" ht="13.5" hidden="1"/>
    <row r="19877" ht="13.5" hidden="1"/>
    <row r="19878" ht="13.5" hidden="1"/>
    <row r="19879" ht="13.5" hidden="1"/>
    <row r="19880" ht="13.5" hidden="1"/>
    <row r="19881" ht="13.5" hidden="1"/>
    <row r="19882" ht="13.5" hidden="1"/>
    <row r="19883" ht="13.5" hidden="1"/>
    <row r="19884" ht="13.5" hidden="1"/>
    <row r="19885" ht="13.5" hidden="1"/>
    <row r="19886" ht="13.5" hidden="1"/>
    <row r="19887" ht="13.5" hidden="1"/>
    <row r="19888" ht="13.5" hidden="1"/>
    <row r="19889" ht="13.5" hidden="1"/>
    <row r="19890" ht="13.5" hidden="1"/>
    <row r="19891" ht="13.5" hidden="1"/>
    <row r="19892" ht="13.5" hidden="1"/>
    <row r="19893" ht="13.5" hidden="1"/>
    <row r="19894" ht="13.5" hidden="1"/>
    <row r="19895" ht="13.5" hidden="1"/>
    <row r="19896" ht="13.5" hidden="1"/>
    <row r="19897" ht="13.5" hidden="1"/>
    <row r="19898" ht="13.5" hidden="1"/>
    <row r="19899" ht="13.5" hidden="1"/>
    <row r="19900" ht="13.5" hidden="1"/>
    <row r="19901" ht="13.5" hidden="1"/>
    <row r="19902" ht="13.5" hidden="1"/>
    <row r="19903" ht="13.5" hidden="1"/>
    <row r="19904" ht="13.5" hidden="1"/>
    <row r="19905" ht="13.5" hidden="1"/>
    <row r="19906" ht="13.5" hidden="1"/>
    <row r="19907" ht="13.5" hidden="1"/>
    <row r="19908" ht="13.5" hidden="1"/>
    <row r="19909" ht="13.5" hidden="1"/>
    <row r="19910" ht="13.5" hidden="1"/>
    <row r="19911" ht="13.5" hidden="1"/>
    <row r="19912" ht="13.5" hidden="1"/>
    <row r="19913" ht="13.5" hidden="1"/>
    <row r="19914" ht="13.5" hidden="1"/>
    <row r="19915" ht="13.5" hidden="1"/>
    <row r="19916" ht="13.5" hidden="1"/>
    <row r="19917" ht="13.5" hidden="1"/>
    <row r="19918" ht="13.5" hidden="1"/>
    <row r="19919" ht="13.5" hidden="1"/>
    <row r="19920" ht="13.5" hidden="1"/>
    <row r="19921" ht="13.5" hidden="1"/>
    <row r="19922" ht="13.5" hidden="1"/>
    <row r="19923" ht="13.5" hidden="1"/>
    <row r="19924" ht="13.5" hidden="1"/>
    <row r="19925" ht="13.5" hidden="1"/>
    <row r="19926" ht="13.5" hidden="1"/>
    <row r="19927" ht="13.5" hidden="1"/>
    <row r="19928" ht="13.5" hidden="1"/>
    <row r="19929" ht="13.5" hidden="1"/>
    <row r="19930" ht="13.5" hidden="1"/>
    <row r="19931" ht="13.5" hidden="1"/>
    <row r="19932" ht="13.5" hidden="1"/>
    <row r="19933" ht="13.5" hidden="1"/>
    <row r="19934" ht="13.5" hidden="1"/>
    <row r="19935" ht="13.5" hidden="1"/>
    <row r="19936" ht="13.5" hidden="1"/>
    <row r="19937" ht="13.5" hidden="1"/>
    <row r="19938" ht="13.5" hidden="1"/>
    <row r="19939" ht="13.5" hidden="1"/>
    <row r="19940" ht="13.5" hidden="1"/>
    <row r="19941" ht="13.5" hidden="1"/>
    <row r="19942" ht="13.5" hidden="1"/>
    <row r="19943" ht="13.5" hidden="1"/>
    <row r="19944" ht="13.5" hidden="1"/>
    <row r="19945" ht="13.5" hidden="1"/>
    <row r="19946" ht="13.5" hidden="1"/>
    <row r="19947" ht="13.5" hidden="1"/>
    <row r="19948" ht="13.5" hidden="1"/>
    <row r="19949" ht="13.5" hidden="1"/>
    <row r="19950" ht="13.5" hidden="1"/>
    <row r="19951" ht="13.5" hidden="1"/>
    <row r="19952" ht="13.5" hidden="1"/>
    <row r="19953" ht="13.5" hidden="1"/>
    <row r="19954" ht="13.5" hidden="1"/>
    <row r="19955" ht="13.5" hidden="1"/>
    <row r="19956" ht="13.5" hidden="1"/>
    <row r="19957" ht="13.5" hidden="1"/>
    <row r="19958" ht="13.5" hidden="1"/>
    <row r="19959" ht="13.5" hidden="1"/>
    <row r="19960" ht="13.5" hidden="1"/>
    <row r="19961" ht="13.5" hidden="1"/>
    <row r="19962" ht="13.5" hidden="1"/>
    <row r="19963" ht="13.5" hidden="1"/>
    <row r="19964" ht="13.5" hidden="1"/>
    <row r="19965" ht="13.5" hidden="1"/>
    <row r="19966" ht="13.5" hidden="1"/>
    <row r="19967" ht="13.5" hidden="1"/>
    <row r="19968" ht="13.5" hidden="1"/>
    <row r="19969" ht="13.5" hidden="1"/>
    <row r="19970" ht="13.5" hidden="1"/>
    <row r="19971" ht="13.5" hidden="1"/>
    <row r="19972" ht="13.5" hidden="1"/>
    <row r="19973" ht="13.5" hidden="1"/>
    <row r="19974" ht="13.5" hidden="1"/>
    <row r="19975" ht="13.5" hidden="1"/>
    <row r="19976" ht="13.5" hidden="1"/>
    <row r="19977" ht="13.5" hidden="1"/>
    <row r="19978" ht="13.5" hidden="1"/>
    <row r="19979" ht="13.5" hidden="1"/>
    <row r="19980" ht="13.5" hidden="1"/>
    <row r="19981" ht="13.5" hidden="1"/>
    <row r="19982" ht="13.5" hidden="1"/>
    <row r="19983" ht="13.5" hidden="1"/>
    <row r="19984" ht="13.5" hidden="1"/>
    <row r="19985" ht="13.5" hidden="1"/>
    <row r="19986" ht="13.5" hidden="1"/>
    <row r="19987" ht="13.5" hidden="1"/>
    <row r="19988" ht="13.5" hidden="1"/>
    <row r="19989" ht="13.5" hidden="1"/>
    <row r="19990" ht="13.5" hidden="1"/>
    <row r="19991" ht="13.5" hidden="1"/>
    <row r="19992" ht="13.5" hidden="1"/>
    <row r="19993" ht="13.5" hidden="1"/>
    <row r="19994" ht="13.5" hidden="1"/>
    <row r="19995" ht="13.5" hidden="1"/>
    <row r="19996" ht="13.5" hidden="1"/>
    <row r="19997" ht="13.5" hidden="1"/>
    <row r="19998" ht="13.5" hidden="1"/>
    <row r="19999" ht="13.5" hidden="1"/>
    <row r="20000" ht="13.5" hidden="1"/>
    <row r="20001" ht="13.5" hidden="1"/>
    <row r="20002" ht="13.5" hidden="1"/>
    <row r="20003" ht="13.5" hidden="1"/>
    <row r="20004" ht="13.5" hidden="1"/>
    <row r="20005" ht="13.5" hidden="1"/>
    <row r="20006" ht="13.5" hidden="1"/>
    <row r="20007" ht="13.5" hidden="1"/>
    <row r="20008" ht="13.5" hidden="1"/>
    <row r="20009" ht="13.5" hidden="1"/>
    <row r="20010" ht="13.5" hidden="1"/>
    <row r="20011" ht="13.5" hidden="1"/>
    <row r="20012" ht="13.5" hidden="1"/>
    <row r="20013" ht="13.5" hidden="1"/>
    <row r="20014" ht="13.5" hidden="1"/>
    <row r="20015" ht="13.5" hidden="1"/>
    <row r="20016" ht="13.5" hidden="1"/>
    <row r="20017" ht="13.5" hidden="1"/>
    <row r="20018" ht="13.5" hidden="1"/>
    <row r="20019" ht="13.5" hidden="1"/>
    <row r="20020" ht="13.5" hidden="1"/>
    <row r="20021" ht="13.5" hidden="1"/>
    <row r="20022" ht="13.5" hidden="1"/>
    <row r="20023" ht="13.5" hidden="1"/>
    <row r="20024" ht="13.5" hidden="1"/>
    <row r="20025" ht="13.5" hidden="1"/>
    <row r="20026" ht="13.5" hidden="1"/>
    <row r="20027" ht="13.5" hidden="1"/>
    <row r="20028" ht="13.5" hidden="1"/>
    <row r="20029" ht="13.5" hidden="1"/>
    <row r="20030" ht="13.5" hidden="1"/>
    <row r="20031" ht="13.5" hidden="1"/>
    <row r="20032" ht="13.5" hidden="1"/>
    <row r="20033" ht="13.5" hidden="1"/>
    <row r="20034" ht="13.5" hidden="1"/>
    <row r="20035" ht="13.5" hidden="1"/>
    <row r="20036" ht="13.5" hidden="1"/>
    <row r="20037" ht="13.5" hidden="1"/>
    <row r="20038" ht="13.5" hidden="1"/>
    <row r="20039" ht="13.5" hidden="1"/>
    <row r="20040" ht="13.5" hidden="1"/>
    <row r="20041" ht="13.5" hidden="1"/>
    <row r="20042" ht="13.5" hidden="1"/>
    <row r="20043" ht="13.5" hidden="1"/>
    <row r="20044" ht="13.5" hidden="1"/>
    <row r="20045" ht="13.5" hidden="1"/>
    <row r="20046" ht="13.5" hidden="1"/>
    <row r="20047" ht="13.5" hidden="1"/>
    <row r="20048" ht="13.5" hidden="1"/>
    <row r="20049" ht="13.5" hidden="1"/>
    <row r="20050" ht="13.5" hidden="1"/>
    <row r="20051" ht="13.5" hidden="1"/>
    <row r="20052" ht="13.5" hidden="1"/>
    <row r="20053" ht="13.5" hidden="1"/>
    <row r="20054" ht="13.5" hidden="1"/>
    <row r="20055" ht="13.5" hidden="1"/>
    <row r="20056" ht="13.5" hidden="1"/>
    <row r="20057" ht="13.5" hidden="1"/>
    <row r="20058" ht="13.5" hidden="1"/>
    <row r="20059" ht="13.5" hidden="1"/>
    <row r="20060" ht="13.5" hidden="1"/>
    <row r="20061" ht="13.5" hidden="1"/>
    <row r="20062" ht="13.5" hidden="1"/>
    <row r="20063" ht="13.5" hidden="1"/>
    <row r="20064" ht="13.5" hidden="1"/>
    <row r="20065" ht="13.5" hidden="1"/>
    <row r="20066" ht="13.5" hidden="1"/>
    <row r="20067" ht="13.5" hidden="1"/>
    <row r="20068" ht="13.5" hidden="1"/>
    <row r="20069" ht="13.5" hidden="1"/>
    <row r="20070" ht="13.5" hidden="1"/>
    <row r="20071" ht="13.5" hidden="1"/>
    <row r="20072" ht="13.5" hidden="1"/>
    <row r="20073" ht="13.5" hidden="1"/>
    <row r="20074" ht="13.5" hidden="1"/>
    <row r="20075" ht="13.5" hidden="1"/>
    <row r="20076" ht="13.5" hidden="1"/>
    <row r="20077" ht="13.5" hidden="1"/>
    <row r="20078" ht="13.5" hidden="1"/>
    <row r="20079" ht="13.5" hidden="1"/>
    <row r="20080" ht="13.5" hidden="1"/>
    <row r="20081" ht="13.5" hidden="1"/>
    <row r="20082" ht="13.5" hidden="1"/>
    <row r="20083" ht="13.5" hidden="1"/>
    <row r="20084" ht="13.5" hidden="1"/>
    <row r="20085" ht="13.5" hidden="1"/>
    <row r="20086" ht="13.5" hidden="1"/>
    <row r="20087" ht="13.5" hidden="1"/>
    <row r="20088" ht="13.5" hidden="1"/>
    <row r="20089" ht="13.5" hidden="1"/>
    <row r="20090" ht="13.5" hidden="1"/>
    <row r="20091" ht="13.5" hidden="1"/>
    <row r="20092" ht="13.5" hidden="1"/>
    <row r="20093" ht="13.5" hidden="1"/>
    <row r="20094" ht="13.5" hidden="1"/>
    <row r="20095" ht="13.5" hidden="1"/>
    <row r="20096" ht="13.5" hidden="1"/>
    <row r="20097" ht="13.5" hidden="1"/>
    <row r="20098" ht="13.5" hidden="1"/>
    <row r="20099" ht="13.5" hidden="1"/>
    <row r="20100" ht="13.5" hidden="1"/>
    <row r="20101" ht="13.5" hidden="1"/>
    <row r="20102" ht="13.5" hidden="1"/>
    <row r="20103" ht="13.5" hidden="1"/>
    <row r="20104" ht="13.5" hidden="1"/>
    <row r="20105" ht="13.5" hidden="1"/>
    <row r="20106" ht="13.5" hidden="1"/>
    <row r="20107" ht="13.5" hidden="1"/>
    <row r="20108" ht="13.5" hidden="1"/>
    <row r="20109" ht="13.5" hidden="1"/>
    <row r="20110" ht="13.5" hidden="1"/>
    <row r="20111" ht="13.5" hidden="1"/>
    <row r="20112" ht="13.5" hidden="1"/>
    <row r="20113" ht="13.5" hidden="1"/>
    <row r="20114" ht="13.5" hidden="1"/>
    <row r="20115" ht="13.5" hidden="1"/>
    <row r="20116" ht="13.5" hidden="1"/>
    <row r="20117" ht="13.5" hidden="1"/>
    <row r="20118" ht="13.5" hidden="1"/>
    <row r="20119" ht="13.5" hidden="1"/>
    <row r="20120" ht="13.5" hidden="1"/>
    <row r="20121" ht="13.5" hidden="1"/>
    <row r="20122" ht="13.5" hidden="1"/>
    <row r="20123" ht="13.5" hidden="1"/>
    <row r="20124" ht="13.5" hidden="1"/>
    <row r="20125" ht="13.5" hidden="1"/>
    <row r="20126" ht="13.5" hidden="1"/>
    <row r="20127" ht="13.5" hidden="1"/>
    <row r="20128" ht="13.5" hidden="1"/>
    <row r="20129" ht="13.5" hidden="1"/>
    <row r="20130" ht="13.5" hidden="1"/>
    <row r="20131" ht="13.5" hidden="1"/>
    <row r="20132" ht="13.5" hidden="1"/>
    <row r="20133" ht="13.5" hidden="1"/>
    <row r="20134" ht="13.5" hidden="1"/>
    <row r="20135" ht="13.5" hidden="1"/>
    <row r="20136" ht="13.5" hidden="1"/>
    <row r="20137" ht="13.5" hidden="1"/>
    <row r="20138" ht="13.5" hidden="1"/>
    <row r="20139" ht="13.5" hidden="1"/>
    <row r="20140" ht="13.5" hidden="1"/>
    <row r="20141" ht="13.5" hidden="1"/>
    <row r="20142" ht="13.5" hidden="1"/>
    <row r="20143" ht="13.5" hidden="1"/>
    <row r="20144" ht="13.5" hidden="1"/>
    <row r="20145" ht="13.5" hidden="1"/>
    <row r="20146" ht="13.5" hidden="1"/>
    <row r="20147" ht="13.5" hidden="1"/>
    <row r="20148" ht="13.5" hidden="1"/>
    <row r="20149" ht="13.5" hidden="1"/>
    <row r="20150" ht="13.5" hidden="1"/>
    <row r="20151" ht="13.5" hidden="1"/>
    <row r="20152" ht="13.5" hidden="1"/>
    <row r="20153" ht="13.5" hidden="1"/>
    <row r="20154" ht="13.5" hidden="1"/>
    <row r="20155" ht="13.5" hidden="1"/>
    <row r="20156" ht="13.5" hidden="1"/>
    <row r="20157" ht="13.5" hidden="1"/>
    <row r="20158" ht="13.5" hidden="1"/>
    <row r="20159" ht="13.5" hidden="1"/>
    <row r="20160" ht="13.5" hidden="1"/>
    <row r="20161" ht="13.5" hidden="1"/>
    <row r="20162" ht="13.5" hidden="1"/>
    <row r="20163" ht="13.5" hidden="1"/>
    <row r="20164" ht="13.5" hidden="1"/>
    <row r="20165" ht="13.5" hidden="1"/>
    <row r="20166" ht="13.5" hidden="1"/>
    <row r="20167" ht="13.5" hidden="1"/>
    <row r="20168" ht="13.5" hidden="1"/>
    <row r="20169" ht="13.5" hidden="1"/>
    <row r="20170" ht="13.5" hidden="1"/>
    <row r="20171" ht="13.5" hidden="1"/>
    <row r="20172" ht="13.5" hidden="1"/>
    <row r="20173" ht="13.5" hidden="1"/>
    <row r="20174" ht="13.5" hidden="1"/>
    <row r="20175" ht="13.5" hidden="1"/>
    <row r="20176" ht="13.5" hidden="1"/>
    <row r="20177" ht="13.5" hidden="1"/>
    <row r="20178" ht="13.5" hidden="1"/>
    <row r="20179" ht="13.5" hidden="1"/>
    <row r="20180" ht="13.5" hidden="1"/>
    <row r="20181" ht="13.5" hidden="1"/>
    <row r="20182" ht="13.5" hidden="1"/>
    <row r="20183" ht="13.5" hidden="1"/>
    <row r="20184" ht="13.5" hidden="1"/>
    <row r="20185" ht="13.5" hidden="1"/>
    <row r="20186" ht="13.5" hidden="1"/>
    <row r="20187" ht="13.5" hidden="1"/>
    <row r="20188" ht="13.5" hidden="1"/>
    <row r="20189" ht="13.5" hidden="1"/>
    <row r="20190" ht="13.5" hidden="1"/>
    <row r="20191" ht="13.5" hidden="1"/>
    <row r="20192" ht="13.5" hidden="1"/>
    <row r="20193" ht="13.5" hidden="1"/>
    <row r="20194" ht="13.5" hidden="1"/>
    <row r="20195" ht="13.5" hidden="1"/>
    <row r="20196" ht="13.5" hidden="1"/>
    <row r="20197" ht="13.5" hidden="1"/>
    <row r="20198" ht="13.5" hidden="1"/>
    <row r="20199" ht="13.5" hidden="1"/>
    <row r="20200" ht="13.5" hidden="1"/>
    <row r="20201" ht="13.5" hidden="1"/>
    <row r="20202" ht="13.5" hidden="1"/>
    <row r="20203" ht="13.5" hidden="1"/>
    <row r="20204" ht="13.5" hidden="1"/>
    <row r="20205" ht="13.5" hidden="1"/>
    <row r="20206" ht="13.5" hidden="1"/>
    <row r="20207" ht="13.5" hidden="1"/>
    <row r="20208" ht="13.5" hidden="1"/>
    <row r="20209" ht="13.5" hidden="1"/>
    <row r="20210" ht="13.5" hidden="1"/>
    <row r="20211" ht="13.5" hidden="1"/>
    <row r="20212" ht="13.5" hidden="1"/>
    <row r="20213" ht="13.5" hidden="1"/>
    <row r="20214" ht="13.5" hidden="1"/>
    <row r="20215" ht="13.5" hidden="1"/>
    <row r="20216" ht="13.5" hidden="1"/>
    <row r="20217" ht="13.5" hidden="1"/>
    <row r="20218" ht="13.5" hidden="1"/>
    <row r="20219" ht="13.5" hidden="1"/>
    <row r="20220" ht="13.5" hidden="1"/>
    <row r="20221" ht="13.5" hidden="1"/>
    <row r="20222" ht="13.5" hidden="1"/>
    <row r="20223" ht="13.5" hidden="1"/>
    <row r="20224" ht="13.5" hidden="1"/>
    <row r="20225" ht="13.5" hidden="1"/>
    <row r="20226" ht="13.5" hidden="1"/>
    <row r="20227" ht="13.5" hidden="1"/>
    <row r="20228" ht="13.5" hidden="1"/>
    <row r="20229" ht="13.5" hidden="1"/>
    <row r="20230" ht="13.5" hidden="1"/>
    <row r="20231" ht="13.5" hidden="1"/>
    <row r="20232" ht="13.5" hidden="1"/>
    <row r="20233" ht="13.5" hidden="1"/>
    <row r="20234" ht="13.5" hidden="1"/>
    <row r="20235" ht="13.5" hidden="1"/>
    <row r="20236" ht="13.5" hidden="1"/>
    <row r="20237" ht="13.5" hidden="1"/>
    <row r="20238" ht="13.5" hidden="1"/>
    <row r="20239" ht="13.5" hidden="1"/>
    <row r="20240" ht="13.5" hidden="1"/>
    <row r="20241" ht="13.5" hidden="1"/>
    <row r="20242" ht="13.5" hidden="1"/>
    <row r="20243" ht="13.5" hidden="1"/>
    <row r="20244" ht="13.5" hidden="1"/>
    <row r="20245" ht="13.5" hidden="1"/>
    <row r="20246" ht="13.5" hidden="1"/>
    <row r="20247" ht="13.5" hidden="1"/>
    <row r="20248" ht="13.5" hidden="1"/>
    <row r="20249" ht="13.5" hidden="1"/>
    <row r="20250" ht="13.5" hidden="1"/>
    <row r="20251" ht="13.5" hidden="1"/>
    <row r="20252" ht="13.5" hidden="1"/>
    <row r="20253" ht="13.5" hidden="1"/>
    <row r="20254" ht="13.5" hidden="1"/>
    <row r="20255" ht="13.5" hidden="1"/>
    <row r="20256" ht="13.5" hidden="1"/>
    <row r="20257" ht="13.5" hidden="1"/>
    <row r="20258" ht="13.5" hidden="1"/>
    <row r="20259" ht="13.5" hidden="1"/>
    <row r="20260" ht="13.5" hidden="1"/>
    <row r="20261" ht="13.5" hidden="1"/>
    <row r="20262" ht="13.5" hidden="1"/>
    <row r="20263" ht="13.5" hidden="1"/>
    <row r="20264" ht="13.5" hidden="1"/>
    <row r="20265" ht="13.5" hidden="1"/>
    <row r="20266" ht="13.5" hidden="1"/>
    <row r="20267" ht="13.5" hidden="1"/>
    <row r="20268" ht="13.5" hidden="1"/>
    <row r="20269" ht="13.5" hidden="1"/>
    <row r="20270" ht="13.5" hidden="1"/>
    <row r="20271" ht="13.5" hidden="1"/>
    <row r="20272" ht="13.5" hidden="1"/>
    <row r="20273" ht="13.5" hidden="1"/>
    <row r="20274" ht="13.5" hidden="1"/>
    <row r="20275" ht="13.5" hidden="1"/>
    <row r="20276" ht="13.5" hidden="1"/>
    <row r="20277" ht="13.5" hidden="1"/>
    <row r="20278" ht="13.5" hidden="1"/>
    <row r="20279" ht="13.5" hidden="1"/>
    <row r="20280" ht="13.5" hidden="1"/>
    <row r="20281" ht="13.5" hidden="1"/>
    <row r="20282" ht="13.5" hidden="1"/>
    <row r="20283" ht="13.5" hidden="1"/>
    <row r="20284" ht="13.5" hidden="1"/>
    <row r="20285" ht="13.5" hidden="1"/>
    <row r="20286" ht="13.5" hidden="1"/>
    <row r="20287" ht="13.5" hidden="1"/>
    <row r="20288" ht="13.5" hidden="1"/>
    <row r="20289" ht="13.5" hidden="1"/>
    <row r="20290" ht="13.5" hidden="1"/>
    <row r="20291" ht="13.5" hidden="1"/>
    <row r="20292" ht="13.5" hidden="1"/>
    <row r="20293" ht="13.5" hidden="1"/>
    <row r="20294" ht="13.5" hidden="1"/>
    <row r="20295" ht="13.5" hidden="1"/>
    <row r="20296" ht="13.5" hidden="1"/>
    <row r="20297" ht="13.5" hidden="1"/>
    <row r="20298" ht="13.5" hidden="1"/>
    <row r="20299" ht="13.5" hidden="1"/>
    <row r="20300" ht="13.5" hidden="1"/>
    <row r="20301" ht="13.5" hidden="1"/>
    <row r="20302" ht="13.5" hidden="1"/>
    <row r="20303" ht="13.5" hidden="1"/>
    <row r="20304" ht="13.5" hidden="1"/>
    <row r="20305" ht="13.5" hidden="1"/>
    <row r="20306" ht="13.5" hidden="1"/>
    <row r="20307" ht="13.5" hidden="1"/>
    <row r="20308" ht="13.5" hidden="1"/>
    <row r="20309" ht="13.5" hidden="1"/>
    <row r="20310" ht="13.5" hidden="1"/>
    <row r="20311" ht="13.5" hidden="1"/>
    <row r="20312" ht="13.5" hidden="1"/>
    <row r="20313" ht="13.5" hidden="1"/>
    <row r="20314" ht="13.5" hidden="1"/>
    <row r="20315" ht="13.5" hidden="1"/>
    <row r="20316" ht="13.5" hidden="1"/>
    <row r="20317" ht="13.5" hidden="1"/>
    <row r="20318" ht="13.5" hidden="1"/>
    <row r="20319" ht="13.5" hidden="1"/>
    <row r="20320" ht="13.5" hidden="1"/>
    <row r="20321" ht="13.5" hidden="1"/>
    <row r="20322" ht="13.5" hidden="1"/>
    <row r="20323" ht="13.5" hidden="1"/>
    <row r="20324" ht="13.5" hidden="1"/>
    <row r="20325" ht="13.5" hidden="1"/>
    <row r="20326" ht="13.5" hidden="1"/>
    <row r="20327" ht="13.5" hidden="1"/>
    <row r="20328" ht="13.5" hidden="1"/>
    <row r="20329" ht="13.5" hidden="1"/>
    <row r="20330" ht="13.5" hidden="1"/>
    <row r="20331" ht="13.5" hidden="1"/>
    <row r="20332" ht="13.5" hidden="1"/>
    <row r="20333" ht="13.5" hidden="1"/>
    <row r="20334" ht="13.5" hidden="1"/>
    <row r="20335" ht="13.5" hidden="1"/>
    <row r="20336" ht="13.5" hidden="1"/>
    <row r="20337" ht="13.5" hidden="1"/>
    <row r="20338" ht="13.5" hidden="1"/>
    <row r="20339" ht="13.5" hidden="1"/>
    <row r="20340" ht="13.5" hidden="1"/>
    <row r="20341" ht="13.5" hidden="1"/>
    <row r="20342" ht="13.5" hidden="1"/>
    <row r="20343" ht="13.5" hidden="1"/>
    <row r="20344" ht="13.5" hidden="1"/>
    <row r="20345" ht="13.5" hidden="1"/>
    <row r="20346" ht="13.5" hidden="1"/>
    <row r="20347" ht="13.5" hidden="1"/>
    <row r="20348" ht="13.5" hidden="1"/>
    <row r="20349" ht="13.5" hidden="1"/>
    <row r="20350" ht="13.5" hidden="1"/>
    <row r="20351" ht="13.5" hidden="1"/>
    <row r="20352" ht="13.5" hidden="1"/>
    <row r="20353" ht="13.5" hidden="1"/>
    <row r="20354" ht="13.5" hidden="1"/>
    <row r="20355" ht="13.5" hidden="1"/>
    <row r="20356" ht="13.5" hidden="1"/>
    <row r="20357" ht="13.5" hidden="1"/>
    <row r="20358" ht="13.5" hidden="1"/>
    <row r="20359" ht="13.5" hidden="1"/>
    <row r="20360" ht="13.5" hidden="1"/>
    <row r="20361" ht="13.5" hidden="1"/>
    <row r="20362" ht="13.5" hidden="1"/>
    <row r="20363" ht="13.5" hidden="1"/>
    <row r="20364" ht="13.5" hidden="1"/>
    <row r="20365" ht="13.5" hidden="1"/>
    <row r="20366" ht="13.5" hidden="1"/>
    <row r="20367" ht="13.5" hidden="1"/>
    <row r="20368" ht="13.5" hidden="1"/>
    <row r="20369" ht="13.5" hidden="1"/>
    <row r="20370" ht="13.5" hidden="1"/>
    <row r="20371" ht="13.5" hidden="1"/>
    <row r="20372" ht="13.5" hidden="1"/>
    <row r="20373" ht="13.5" hidden="1"/>
    <row r="20374" ht="13.5" hidden="1"/>
    <row r="20375" ht="13.5" hidden="1"/>
    <row r="20376" ht="13.5" hidden="1"/>
    <row r="20377" ht="13.5" hidden="1"/>
    <row r="20378" ht="13.5" hidden="1"/>
    <row r="20379" ht="13.5" hidden="1"/>
    <row r="20380" ht="13.5" hidden="1"/>
    <row r="20381" ht="13.5" hidden="1"/>
    <row r="20382" ht="13.5" hidden="1"/>
    <row r="20383" ht="13.5" hidden="1"/>
    <row r="20384" ht="13.5" hidden="1"/>
    <row r="20385" ht="13.5" hidden="1"/>
    <row r="20386" ht="13.5" hidden="1"/>
    <row r="20387" ht="13.5" hidden="1"/>
    <row r="20388" ht="13.5" hidden="1"/>
    <row r="20389" ht="13.5" hidden="1"/>
    <row r="20390" ht="13.5" hidden="1"/>
    <row r="20391" ht="13.5" hidden="1"/>
    <row r="20392" ht="13.5" hidden="1"/>
    <row r="20393" ht="13.5" hidden="1"/>
    <row r="20394" ht="13.5" hidden="1"/>
    <row r="20395" ht="13.5" hidden="1"/>
    <row r="20396" ht="13.5" hidden="1"/>
    <row r="20397" ht="13.5" hidden="1"/>
    <row r="20398" ht="13.5" hidden="1"/>
    <row r="20399" ht="13.5" hidden="1"/>
    <row r="20400" ht="13.5" hidden="1"/>
    <row r="20401" ht="13.5" hidden="1"/>
    <row r="20402" ht="13.5" hidden="1"/>
    <row r="20403" ht="13.5" hidden="1"/>
    <row r="20404" ht="13.5" hidden="1"/>
    <row r="20405" ht="13.5" hidden="1"/>
    <row r="20406" ht="13.5" hidden="1"/>
    <row r="20407" ht="13.5" hidden="1"/>
    <row r="20408" ht="13.5" hidden="1"/>
    <row r="20409" ht="13.5" hidden="1"/>
    <row r="20410" ht="13.5" hidden="1"/>
    <row r="20411" ht="13.5" hidden="1"/>
    <row r="20412" ht="13.5" hidden="1"/>
    <row r="20413" ht="13.5" hidden="1"/>
    <row r="20414" ht="13.5" hidden="1"/>
    <row r="20415" ht="13.5" hidden="1"/>
    <row r="20416" ht="13.5" hidden="1"/>
    <row r="20417" ht="13.5" hidden="1"/>
    <row r="20418" ht="13.5" hidden="1"/>
    <row r="20419" ht="13.5" hidden="1"/>
    <row r="20420" ht="13.5" hidden="1"/>
    <row r="20421" ht="13.5" hidden="1"/>
    <row r="20422" ht="13.5" hidden="1"/>
    <row r="20423" ht="13.5" hidden="1"/>
    <row r="20424" ht="13.5" hidden="1"/>
    <row r="20425" ht="13.5" hidden="1"/>
    <row r="20426" ht="13.5" hidden="1"/>
    <row r="20427" ht="13.5" hidden="1"/>
    <row r="20428" ht="13.5" hidden="1"/>
    <row r="20429" ht="13.5" hidden="1"/>
    <row r="20430" ht="13.5" hidden="1"/>
    <row r="20431" ht="13.5" hidden="1"/>
    <row r="20432" ht="13.5" hidden="1"/>
    <row r="20433" ht="13.5" hidden="1"/>
    <row r="20434" ht="13.5" hidden="1"/>
    <row r="20435" ht="13.5" hidden="1"/>
    <row r="20436" ht="13.5" hidden="1"/>
    <row r="20437" ht="13.5" hidden="1"/>
    <row r="20438" ht="13.5" hidden="1"/>
    <row r="20439" ht="13.5" hidden="1"/>
    <row r="20440" ht="13.5" hidden="1"/>
    <row r="20441" ht="13.5" hidden="1"/>
    <row r="20442" ht="13.5" hidden="1"/>
    <row r="20443" ht="13.5" hidden="1"/>
    <row r="20444" ht="13.5" hidden="1"/>
    <row r="20445" ht="13.5" hidden="1"/>
    <row r="20446" ht="13.5" hidden="1"/>
    <row r="20447" ht="13.5" hidden="1"/>
    <row r="20448" ht="13.5" hidden="1"/>
    <row r="20449" ht="13.5" hidden="1"/>
    <row r="20450" ht="13.5" hidden="1"/>
    <row r="20451" ht="13.5" hidden="1"/>
    <row r="20452" ht="13.5" hidden="1"/>
    <row r="20453" ht="13.5" hidden="1"/>
    <row r="20454" ht="13.5" hidden="1"/>
    <row r="20455" ht="13.5" hidden="1"/>
    <row r="20456" ht="13.5" hidden="1"/>
    <row r="20457" ht="13.5" hidden="1"/>
    <row r="20458" ht="13.5" hidden="1"/>
    <row r="20459" ht="13.5" hidden="1"/>
    <row r="20460" ht="13.5" hidden="1"/>
    <row r="20461" ht="13.5" hidden="1"/>
    <row r="20462" ht="13.5" hidden="1"/>
    <row r="20463" ht="13.5" hidden="1"/>
    <row r="20464" ht="13.5" hidden="1"/>
    <row r="20465" ht="13.5" hidden="1"/>
    <row r="20466" ht="13.5" hidden="1"/>
    <row r="20467" ht="13.5" hidden="1"/>
    <row r="20468" ht="13.5" hidden="1"/>
    <row r="20469" ht="13.5" hidden="1"/>
    <row r="20470" ht="13.5" hidden="1"/>
    <row r="20471" ht="13.5" hidden="1"/>
    <row r="20472" ht="13.5" hidden="1"/>
    <row r="20473" ht="13.5" hidden="1"/>
    <row r="20474" ht="13.5" hidden="1"/>
    <row r="20475" ht="13.5" hidden="1"/>
    <row r="20476" ht="13.5" hidden="1"/>
    <row r="20477" ht="13.5" hidden="1"/>
    <row r="20478" ht="13.5" hidden="1"/>
    <row r="20479" ht="13.5" hidden="1"/>
    <row r="20480" ht="13.5" hidden="1"/>
    <row r="20481" ht="13.5" hidden="1"/>
    <row r="20482" ht="13.5" hidden="1"/>
    <row r="20483" ht="13.5" hidden="1"/>
    <row r="20484" ht="13.5" hidden="1"/>
    <row r="20485" ht="13.5" hidden="1"/>
    <row r="20486" ht="13.5" hidden="1"/>
    <row r="20487" ht="13.5" hidden="1"/>
    <row r="20488" ht="13.5" hidden="1"/>
    <row r="20489" ht="13.5" hidden="1"/>
    <row r="20490" ht="13.5" hidden="1"/>
    <row r="20491" ht="13.5" hidden="1"/>
    <row r="20492" ht="13.5" hidden="1"/>
    <row r="20493" ht="13.5" hidden="1"/>
    <row r="20494" ht="13.5" hidden="1"/>
    <row r="20495" ht="13.5" hidden="1"/>
    <row r="20496" ht="13.5" hidden="1"/>
    <row r="20497" ht="13.5" hidden="1"/>
    <row r="20498" ht="13.5" hidden="1"/>
    <row r="20499" ht="13.5" hidden="1"/>
    <row r="20500" ht="13.5" hidden="1"/>
    <row r="20501" ht="13.5" hidden="1"/>
    <row r="20502" ht="13.5" hidden="1"/>
    <row r="20503" ht="13.5" hidden="1"/>
    <row r="20504" ht="13.5" hidden="1"/>
    <row r="20505" ht="13.5" hidden="1"/>
    <row r="20506" ht="13.5" hidden="1"/>
    <row r="20507" ht="13.5" hidden="1"/>
    <row r="20508" ht="13.5" hidden="1"/>
    <row r="20509" ht="13.5" hidden="1"/>
    <row r="20510" ht="13.5" hidden="1"/>
    <row r="20511" ht="13.5" hidden="1"/>
    <row r="20512" ht="13.5" hidden="1"/>
    <row r="20513" ht="13.5" hidden="1"/>
    <row r="20514" ht="13.5" hidden="1"/>
    <row r="20515" ht="13.5" hidden="1"/>
    <row r="20516" ht="13.5" hidden="1"/>
    <row r="20517" ht="13.5" hidden="1"/>
    <row r="20518" ht="13.5" hidden="1"/>
    <row r="20519" ht="13.5" hidden="1"/>
    <row r="20520" ht="13.5" hidden="1"/>
    <row r="20521" ht="13.5" hidden="1"/>
    <row r="20522" ht="13.5" hidden="1"/>
    <row r="20523" ht="13.5" hidden="1"/>
    <row r="20524" ht="13.5" hidden="1"/>
    <row r="20525" ht="13.5" hidden="1"/>
    <row r="20526" ht="13.5" hidden="1"/>
    <row r="20527" ht="13.5" hidden="1"/>
    <row r="20528" ht="13.5" hidden="1"/>
    <row r="20529" ht="13.5" hidden="1"/>
    <row r="20530" ht="13.5" hidden="1"/>
    <row r="20531" ht="13.5" hidden="1"/>
    <row r="20532" ht="13.5" hidden="1"/>
    <row r="20533" ht="13.5" hidden="1"/>
    <row r="20534" ht="13.5" hidden="1"/>
    <row r="20535" ht="13.5" hidden="1"/>
    <row r="20536" ht="13.5" hidden="1"/>
    <row r="20537" ht="13.5" hidden="1"/>
    <row r="20538" ht="13.5" hidden="1"/>
    <row r="20539" ht="13.5" hidden="1"/>
    <row r="20540" ht="13.5" hidden="1"/>
    <row r="20541" ht="13.5" hidden="1"/>
    <row r="20542" ht="13.5" hidden="1"/>
    <row r="20543" ht="13.5" hidden="1"/>
    <row r="20544" ht="13.5" hidden="1"/>
    <row r="20545" ht="13.5" hidden="1"/>
    <row r="20546" ht="13.5" hidden="1"/>
    <row r="20547" ht="13.5" hidden="1"/>
    <row r="20548" ht="13.5" hidden="1"/>
    <row r="20549" ht="13.5" hidden="1"/>
    <row r="20550" ht="13.5" hidden="1"/>
    <row r="20551" ht="13.5" hidden="1"/>
    <row r="20552" ht="13.5" hidden="1"/>
    <row r="20553" ht="13.5" hidden="1"/>
    <row r="20554" ht="13.5" hidden="1"/>
    <row r="20555" ht="13.5" hidden="1"/>
    <row r="20556" ht="13.5" hidden="1"/>
    <row r="20557" ht="13.5" hidden="1"/>
    <row r="20558" ht="13.5" hidden="1"/>
    <row r="20559" ht="13.5" hidden="1"/>
    <row r="20560" ht="13.5" hidden="1"/>
    <row r="20561" ht="13.5" hidden="1"/>
    <row r="20562" ht="13.5" hidden="1"/>
    <row r="20563" ht="13.5" hidden="1"/>
    <row r="20564" ht="13.5" hidden="1"/>
    <row r="20565" ht="13.5" hidden="1"/>
    <row r="20566" ht="13.5" hidden="1"/>
    <row r="20567" ht="13.5" hidden="1"/>
    <row r="20568" ht="13.5" hidden="1"/>
    <row r="20569" ht="13.5" hidden="1"/>
    <row r="20570" ht="13.5" hidden="1"/>
    <row r="20571" ht="13.5" hidden="1"/>
    <row r="20572" ht="13.5" hidden="1"/>
    <row r="20573" ht="13.5" hidden="1"/>
    <row r="20574" ht="13.5" hidden="1"/>
    <row r="20575" ht="13.5" hidden="1"/>
    <row r="20576" ht="13.5" hidden="1"/>
    <row r="20577" ht="13.5" hidden="1"/>
    <row r="20578" ht="13.5" hidden="1"/>
    <row r="20579" ht="13.5" hidden="1"/>
    <row r="20580" ht="13.5" hidden="1"/>
    <row r="20581" ht="13.5" hidden="1"/>
    <row r="20582" ht="13.5" hidden="1"/>
    <row r="20583" ht="13.5" hidden="1"/>
    <row r="20584" ht="13.5" hidden="1"/>
    <row r="20585" ht="13.5" hidden="1"/>
    <row r="20586" ht="13.5" hidden="1"/>
    <row r="20587" ht="13.5" hidden="1"/>
    <row r="20588" ht="13.5" hidden="1"/>
    <row r="20589" ht="13.5" hidden="1"/>
    <row r="20590" ht="13.5" hidden="1"/>
    <row r="20591" ht="13.5" hidden="1"/>
    <row r="20592" ht="13.5" hidden="1"/>
    <row r="20593" ht="13.5" hidden="1"/>
    <row r="20594" ht="13.5" hidden="1"/>
    <row r="20595" ht="13.5" hidden="1"/>
    <row r="20596" ht="13.5" hidden="1"/>
    <row r="20597" ht="13.5" hidden="1"/>
    <row r="20598" ht="13.5" hidden="1"/>
    <row r="20599" ht="13.5" hidden="1"/>
    <row r="20600" ht="13.5" hidden="1"/>
    <row r="20601" ht="13.5" hidden="1"/>
    <row r="20602" ht="13.5" hidden="1"/>
    <row r="20603" ht="13.5" hidden="1"/>
    <row r="20604" ht="13.5" hidden="1"/>
    <row r="20605" ht="13.5" hidden="1"/>
    <row r="20606" ht="13.5" hidden="1"/>
    <row r="20607" ht="13.5" hidden="1"/>
    <row r="20608" ht="13.5" hidden="1"/>
    <row r="20609" ht="13.5" hidden="1"/>
    <row r="20610" ht="13.5" hidden="1"/>
    <row r="20611" ht="13.5" hidden="1"/>
    <row r="20612" ht="13.5" hidden="1"/>
    <row r="20613" ht="13.5" hidden="1"/>
    <row r="20614" ht="13.5" hidden="1"/>
    <row r="20615" ht="13.5" hidden="1"/>
    <row r="20616" ht="13.5" hidden="1"/>
    <row r="20617" ht="13.5" hidden="1"/>
    <row r="20618" ht="13.5" hidden="1"/>
    <row r="20619" ht="13.5" hidden="1"/>
    <row r="20620" ht="13.5" hidden="1"/>
    <row r="20621" ht="13.5" hidden="1"/>
    <row r="20622" ht="13.5" hidden="1"/>
    <row r="20623" ht="13.5" hidden="1"/>
    <row r="20624" ht="13.5" hidden="1"/>
    <row r="20625" ht="13.5" hidden="1"/>
    <row r="20626" ht="13.5" hidden="1"/>
    <row r="20627" ht="13.5" hidden="1"/>
    <row r="20628" ht="13.5" hidden="1"/>
    <row r="20629" ht="13.5" hidden="1"/>
    <row r="20630" ht="13.5" hidden="1"/>
    <row r="20631" ht="13.5" hidden="1"/>
    <row r="20632" ht="13.5" hidden="1"/>
    <row r="20633" ht="13.5" hidden="1"/>
    <row r="20634" ht="13.5" hidden="1"/>
    <row r="20635" ht="13.5" hidden="1"/>
    <row r="20636" ht="13.5" hidden="1"/>
    <row r="20637" ht="13.5" hidden="1"/>
    <row r="20638" ht="13.5" hidden="1"/>
    <row r="20639" ht="13.5" hidden="1"/>
    <row r="20640" ht="13.5" hidden="1"/>
    <row r="20641" ht="13.5" hidden="1"/>
    <row r="20642" ht="13.5" hidden="1"/>
    <row r="20643" ht="13.5" hidden="1"/>
    <row r="20644" ht="13.5" hidden="1"/>
    <row r="20645" ht="13.5" hidden="1"/>
    <row r="20646" ht="13.5" hidden="1"/>
    <row r="20647" ht="13.5" hidden="1"/>
    <row r="20648" ht="13.5" hidden="1"/>
    <row r="20649" ht="13.5" hidden="1"/>
    <row r="20650" ht="13.5" hidden="1"/>
    <row r="20651" ht="13.5" hidden="1"/>
    <row r="20652" ht="13.5" hidden="1"/>
    <row r="20653" ht="13.5" hidden="1"/>
    <row r="20654" ht="13.5" hidden="1"/>
    <row r="20655" ht="13.5" hidden="1"/>
    <row r="20656" ht="13.5" hidden="1"/>
    <row r="20657" ht="13.5" hidden="1"/>
    <row r="20658" ht="13.5" hidden="1"/>
    <row r="20659" ht="13.5" hidden="1"/>
    <row r="20660" ht="13.5" hidden="1"/>
    <row r="20661" ht="13.5" hidden="1"/>
    <row r="20662" ht="13.5" hidden="1"/>
    <row r="20663" ht="13.5" hidden="1"/>
    <row r="20664" ht="13.5" hidden="1"/>
    <row r="20665" ht="13.5" hidden="1"/>
    <row r="20666" ht="13.5" hidden="1"/>
    <row r="20667" ht="13.5" hidden="1"/>
    <row r="20668" ht="13.5" hidden="1"/>
    <row r="20669" ht="13.5" hidden="1"/>
    <row r="20670" ht="13.5" hidden="1"/>
    <row r="20671" ht="13.5" hidden="1"/>
    <row r="20672" ht="13.5" hidden="1"/>
    <row r="20673" ht="13.5" hidden="1"/>
    <row r="20674" ht="13.5" hidden="1"/>
    <row r="20675" ht="13.5" hidden="1"/>
    <row r="20676" ht="13.5" hidden="1"/>
    <row r="20677" ht="13.5" hidden="1"/>
    <row r="20678" ht="13.5" hidden="1"/>
    <row r="20679" ht="13.5" hidden="1"/>
    <row r="20680" ht="13.5" hidden="1"/>
    <row r="20681" ht="13.5" hidden="1"/>
    <row r="20682" ht="13.5" hidden="1"/>
    <row r="20683" ht="13.5" hidden="1"/>
    <row r="20684" ht="13.5" hidden="1"/>
    <row r="20685" ht="13.5" hidden="1"/>
    <row r="20686" ht="13.5" hidden="1"/>
    <row r="20687" ht="13.5" hidden="1"/>
    <row r="20688" ht="13.5" hidden="1"/>
    <row r="20689" ht="13.5" hidden="1"/>
    <row r="20690" ht="13.5" hidden="1"/>
    <row r="20691" ht="13.5" hidden="1"/>
    <row r="20692" ht="13.5" hidden="1"/>
    <row r="20693" ht="13.5" hidden="1"/>
    <row r="20694" ht="13.5" hidden="1"/>
    <row r="20695" ht="13.5" hidden="1"/>
    <row r="20696" ht="13.5" hidden="1"/>
    <row r="20697" ht="13.5" hidden="1"/>
    <row r="20698" ht="13.5" hidden="1"/>
    <row r="20699" ht="13.5" hidden="1"/>
    <row r="20700" ht="13.5" hidden="1"/>
    <row r="20701" ht="13.5" hidden="1"/>
    <row r="20702" ht="13.5" hidden="1"/>
    <row r="20703" ht="13.5" hidden="1"/>
    <row r="20704" ht="13.5" hidden="1"/>
    <row r="20705" ht="13.5" hidden="1"/>
    <row r="20706" ht="13.5" hidden="1"/>
    <row r="20707" ht="13.5" hidden="1"/>
    <row r="20708" ht="13.5" hidden="1"/>
    <row r="20709" ht="13.5" hidden="1"/>
    <row r="20710" ht="13.5" hidden="1"/>
    <row r="20711" ht="13.5" hidden="1"/>
    <row r="20712" ht="13.5" hidden="1"/>
    <row r="20713" ht="13.5" hidden="1"/>
    <row r="20714" ht="13.5" hidden="1"/>
    <row r="20715" ht="13.5" hidden="1"/>
    <row r="20716" ht="13.5" hidden="1"/>
    <row r="20717" ht="13.5" hidden="1"/>
    <row r="20718" ht="13.5" hidden="1"/>
    <row r="20719" ht="13.5" hidden="1"/>
    <row r="20720" ht="13.5" hidden="1"/>
    <row r="20721" ht="13.5" hidden="1"/>
    <row r="20722" ht="13.5" hidden="1"/>
    <row r="20723" ht="13.5" hidden="1"/>
    <row r="20724" ht="13.5" hidden="1"/>
    <row r="20725" ht="13.5" hidden="1"/>
    <row r="20726" ht="13.5" hidden="1"/>
    <row r="20727" ht="13.5" hidden="1"/>
    <row r="20728" ht="13.5" hidden="1"/>
    <row r="20729" ht="13.5" hidden="1"/>
    <row r="20730" ht="13.5" hidden="1"/>
    <row r="20731" ht="13.5" hidden="1"/>
    <row r="20732" ht="13.5" hidden="1"/>
    <row r="20733" ht="13.5" hidden="1"/>
    <row r="20734" ht="13.5" hidden="1"/>
    <row r="20735" ht="13.5" hidden="1"/>
    <row r="20736" ht="13.5" hidden="1"/>
    <row r="20737" ht="13.5" hidden="1"/>
    <row r="20738" ht="13.5" hidden="1"/>
    <row r="20739" ht="13.5" hidden="1"/>
    <row r="20740" ht="13.5" hidden="1"/>
    <row r="20741" ht="13.5" hidden="1"/>
    <row r="20742" ht="13.5" hidden="1"/>
    <row r="20743" ht="13.5" hidden="1"/>
    <row r="20744" ht="13.5" hidden="1"/>
    <row r="20745" ht="13.5" hidden="1"/>
    <row r="20746" ht="13.5" hidden="1"/>
    <row r="20747" ht="13.5" hidden="1"/>
    <row r="20748" ht="13.5" hidden="1"/>
    <row r="20749" ht="13.5" hidden="1"/>
    <row r="20750" ht="13.5" hidden="1"/>
    <row r="20751" ht="13.5" hidden="1"/>
    <row r="20752" ht="13.5" hidden="1"/>
    <row r="20753" ht="13.5" hidden="1"/>
    <row r="20754" ht="13.5" hidden="1"/>
    <row r="20755" ht="13.5" hidden="1"/>
    <row r="20756" ht="13.5" hidden="1"/>
    <row r="20757" ht="13.5" hidden="1"/>
    <row r="20758" ht="13.5" hidden="1"/>
    <row r="20759" ht="13.5" hidden="1"/>
    <row r="20760" ht="13.5" hidden="1"/>
    <row r="20761" ht="13.5" hidden="1"/>
    <row r="20762" ht="13.5" hidden="1"/>
    <row r="20763" ht="13.5" hidden="1"/>
    <row r="20764" ht="13.5" hidden="1"/>
    <row r="20765" ht="13.5" hidden="1"/>
    <row r="20766" ht="13.5" hidden="1"/>
    <row r="20767" ht="13.5" hidden="1"/>
    <row r="20768" ht="13.5" hidden="1"/>
    <row r="20769" ht="13.5" hidden="1"/>
    <row r="20770" ht="13.5" hidden="1"/>
    <row r="20771" ht="13.5" hidden="1"/>
    <row r="20772" ht="13.5" hidden="1"/>
    <row r="20773" ht="13.5" hidden="1"/>
    <row r="20774" ht="13.5" hidden="1"/>
    <row r="20775" ht="13.5" hidden="1"/>
    <row r="20776" ht="13.5" hidden="1"/>
    <row r="20777" ht="13.5" hidden="1"/>
    <row r="20778" ht="13.5" hidden="1"/>
    <row r="20779" ht="13.5" hidden="1"/>
    <row r="20780" ht="13.5" hidden="1"/>
    <row r="20781" ht="13.5" hidden="1"/>
    <row r="20782" ht="13.5" hidden="1"/>
    <row r="20783" ht="13.5" hidden="1"/>
    <row r="20784" ht="13.5" hidden="1"/>
    <row r="20785" ht="13.5" hidden="1"/>
    <row r="20786" ht="13.5" hidden="1"/>
    <row r="20787" ht="13.5" hidden="1"/>
    <row r="20788" ht="13.5" hidden="1"/>
    <row r="20789" ht="13.5" hidden="1"/>
    <row r="20790" ht="13.5" hidden="1"/>
    <row r="20791" ht="13.5" hidden="1"/>
    <row r="20792" ht="13.5" hidden="1"/>
    <row r="20793" ht="13.5" hidden="1"/>
    <row r="20794" ht="13.5" hidden="1"/>
    <row r="20795" ht="13.5" hidden="1"/>
    <row r="20796" ht="13.5" hidden="1"/>
    <row r="20797" ht="13.5" hidden="1"/>
    <row r="20798" ht="13.5" hidden="1"/>
    <row r="20799" ht="13.5" hidden="1"/>
    <row r="20800" ht="13.5" hidden="1"/>
    <row r="20801" ht="13.5" hidden="1"/>
    <row r="20802" ht="13.5" hidden="1"/>
    <row r="20803" ht="13.5" hidden="1"/>
    <row r="20804" ht="13.5" hidden="1"/>
    <row r="20805" ht="13.5" hidden="1"/>
    <row r="20806" ht="13.5" hidden="1"/>
    <row r="20807" ht="13.5" hidden="1"/>
    <row r="20808" ht="13.5" hidden="1"/>
    <row r="20809" ht="13.5" hidden="1"/>
    <row r="20810" ht="13.5" hidden="1"/>
    <row r="20811" ht="13.5" hidden="1"/>
    <row r="20812" ht="13.5" hidden="1"/>
    <row r="20813" ht="13.5" hidden="1"/>
    <row r="20814" ht="13.5" hidden="1"/>
    <row r="20815" ht="13.5" hidden="1"/>
    <row r="20816" ht="13.5" hidden="1"/>
    <row r="20817" ht="13.5" hidden="1"/>
    <row r="20818" ht="13.5" hidden="1"/>
    <row r="20819" ht="13.5" hidden="1"/>
    <row r="20820" ht="13.5" hidden="1"/>
    <row r="20821" ht="13.5" hidden="1"/>
    <row r="20822" ht="13.5" hidden="1"/>
    <row r="20823" ht="13.5" hidden="1"/>
    <row r="20824" ht="13.5" hidden="1"/>
    <row r="20825" ht="13.5" hidden="1"/>
    <row r="20826" ht="13.5" hidden="1"/>
    <row r="20827" ht="13.5" hidden="1"/>
    <row r="20828" ht="13.5" hidden="1"/>
    <row r="20829" ht="13.5" hidden="1"/>
    <row r="20830" ht="13.5" hidden="1"/>
    <row r="20831" ht="13.5" hidden="1"/>
    <row r="20832" ht="13.5" hidden="1"/>
    <row r="20833" ht="13.5" hidden="1"/>
    <row r="20834" ht="13.5" hidden="1"/>
    <row r="20835" ht="13.5" hidden="1"/>
    <row r="20836" ht="13.5" hidden="1"/>
    <row r="20837" ht="13.5" hidden="1"/>
    <row r="20838" ht="13.5" hidden="1"/>
    <row r="20839" ht="13.5" hidden="1"/>
    <row r="20840" ht="13.5" hidden="1"/>
    <row r="20841" ht="13.5" hidden="1"/>
    <row r="20842" ht="13.5" hidden="1"/>
    <row r="20843" ht="13.5" hidden="1"/>
    <row r="20844" ht="13.5" hidden="1"/>
    <row r="20845" ht="13.5" hidden="1"/>
    <row r="20846" ht="13.5" hidden="1"/>
    <row r="20847" ht="13.5" hidden="1"/>
    <row r="20848" ht="13.5" hidden="1"/>
    <row r="20849" ht="13.5" hidden="1"/>
    <row r="20850" ht="13.5" hidden="1"/>
    <row r="20851" ht="13.5" hidden="1"/>
    <row r="20852" ht="13.5" hidden="1"/>
    <row r="20853" ht="13.5" hidden="1"/>
    <row r="20854" ht="13.5" hidden="1"/>
    <row r="20855" ht="13.5" hidden="1"/>
    <row r="20856" ht="13.5" hidden="1"/>
    <row r="20857" ht="13.5" hidden="1"/>
    <row r="20858" ht="13.5" hidden="1"/>
    <row r="20859" ht="13.5" hidden="1"/>
    <row r="20860" ht="13.5" hidden="1"/>
    <row r="20861" ht="13.5" hidden="1"/>
    <row r="20862" ht="13.5" hidden="1"/>
    <row r="20863" ht="13.5" hidden="1"/>
    <row r="20864" ht="13.5" hidden="1"/>
    <row r="20865" ht="13.5" hidden="1"/>
    <row r="20866" ht="13.5" hidden="1"/>
    <row r="20867" ht="13.5" hidden="1"/>
    <row r="20868" ht="13.5" hidden="1"/>
    <row r="20869" ht="13.5" hidden="1"/>
    <row r="20870" ht="13.5" hidden="1"/>
    <row r="20871" ht="13.5" hidden="1"/>
    <row r="20872" ht="13.5" hidden="1"/>
    <row r="20873" ht="13.5" hidden="1"/>
    <row r="20874" ht="13.5" hidden="1"/>
    <row r="20875" ht="13.5" hidden="1"/>
    <row r="20876" ht="13.5" hidden="1"/>
    <row r="20877" ht="13.5" hidden="1"/>
    <row r="20878" ht="13.5" hidden="1"/>
    <row r="20879" ht="13.5" hidden="1"/>
    <row r="20880" ht="13.5" hidden="1"/>
    <row r="20881" ht="13.5" hidden="1"/>
    <row r="20882" ht="13.5" hidden="1"/>
    <row r="20883" ht="13.5" hidden="1"/>
    <row r="20884" ht="13.5" hidden="1"/>
    <row r="20885" ht="13.5" hidden="1"/>
    <row r="20886" ht="13.5" hidden="1"/>
    <row r="20887" ht="13.5" hidden="1"/>
    <row r="20888" ht="13.5" hidden="1"/>
    <row r="20889" ht="13.5" hidden="1"/>
    <row r="20890" ht="13.5" hidden="1"/>
    <row r="20891" ht="13.5" hidden="1"/>
    <row r="20892" ht="13.5" hidden="1"/>
    <row r="20893" ht="13.5" hidden="1"/>
    <row r="20894" ht="13.5" hidden="1"/>
    <row r="20895" ht="13.5" hidden="1"/>
    <row r="20896" ht="13.5" hidden="1"/>
    <row r="20897" ht="13.5" hidden="1"/>
    <row r="20898" ht="13.5" hidden="1"/>
    <row r="20899" ht="13.5" hidden="1"/>
    <row r="20900" ht="13.5" hidden="1"/>
    <row r="20901" ht="13.5" hidden="1"/>
    <row r="20902" ht="13.5" hidden="1"/>
    <row r="20903" ht="13.5" hidden="1"/>
    <row r="20904" ht="13.5" hidden="1"/>
    <row r="20905" ht="13.5" hidden="1"/>
    <row r="20906" ht="13.5" hidden="1"/>
    <row r="20907" ht="13.5" hidden="1"/>
    <row r="20908" ht="13.5" hidden="1"/>
    <row r="20909" ht="13.5" hidden="1"/>
    <row r="20910" ht="13.5" hidden="1"/>
    <row r="20911" ht="13.5" hidden="1"/>
    <row r="20912" ht="13.5" hidden="1"/>
    <row r="20913" ht="13.5" hidden="1"/>
    <row r="20914" ht="13.5" hidden="1"/>
    <row r="20915" ht="13.5" hidden="1"/>
    <row r="20916" ht="13.5" hidden="1"/>
    <row r="20917" ht="13.5" hidden="1"/>
    <row r="20918" ht="13.5" hidden="1"/>
    <row r="20919" ht="13.5" hidden="1"/>
    <row r="20920" ht="13.5" hidden="1"/>
    <row r="20921" ht="13.5" hidden="1"/>
    <row r="20922" ht="13.5" hidden="1"/>
    <row r="20923" ht="13.5" hidden="1"/>
    <row r="20924" ht="13.5" hidden="1"/>
    <row r="20925" ht="13.5" hidden="1"/>
    <row r="20926" ht="13.5" hidden="1"/>
    <row r="20927" ht="13.5" hidden="1"/>
    <row r="20928" ht="13.5" hidden="1"/>
    <row r="20929" ht="13.5" hidden="1"/>
    <row r="20930" ht="13.5" hidden="1"/>
    <row r="20931" ht="13.5" hidden="1"/>
    <row r="20932" ht="13.5" hidden="1"/>
    <row r="20933" ht="13.5" hidden="1"/>
    <row r="20934" ht="13.5" hidden="1"/>
    <row r="20935" ht="13.5" hidden="1"/>
    <row r="20936" ht="13.5" hidden="1"/>
    <row r="20937" ht="13.5" hidden="1"/>
    <row r="20938" ht="13.5" hidden="1"/>
    <row r="20939" ht="13.5" hidden="1"/>
    <row r="20940" ht="13.5" hidden="1"/>
    <row r="20941" ht="13.5" hidden="1"/>
    <row r="20942" ht="13.5" hidden="1"/>
    <row r="20943" ht="13.5" hidden="1"/>
    <row r="20944" ht="13.5" hidden="1"/>
    <row r="20945" ht="13.5" hidden="1"/>
    <row r="20946" ht="13.5" hidden="1"/>
    <row r="20947" ht="13.5" hidden="1"/>
    <row r="20948" ht="13.5" hidden="1"/>
    <row r="20949" ht="13.5" hidden="1"/>
    <row r="20950" ht="13.5" hidden="1"/>
    <row r="20951" ht="13.5" hidden="1"/>
    <row r="20952" ht="13.5" hidden="1"/>
    <row r="20953" ht="13.5" hidden="1"/>
    <row r="20954" ht="13.5" hidden="1"/>
    <row r="20955" ht="13.5" hidden="1"/>
    <row r="20956" ht="13.5" hidden="1"/>
    <row r="20957" ht="13.5" hidden="1"/>
    <row r="20958" ht="13.5" hidden="1"/>
    <row r="20959" ht="13.5" hidden="1"/>
    <row r="20960" ht="13.5" hidden="1"/>
    <row r="20961" ht="13.5" hidden="1"/>
    <row r="20962" ht="13.5" hidden="1"/>
    <row r="20963" ht="13.5" hidden="1"/>
    <row r="20964" ht="13.5" hidden="1"/>
    <row r="20965" ht="13.5" hidden="1"/>
    <row r="20966" ht="13.5" hidden="1"/>
    <row r="20967" ht="13.5" hidden="1"/>
    <row r="20968" ht="13.5" hidden="1"/>
    <row r="20969" ht="13.5" hidden="1"/>
    <row r="20970" ht="13.5" hidden="1"/>
    <row r="20971" ht="13.5" hidden="1"/>
    <row r="20972" ht="13.5" hidden="1"/>
    <row r="20973" ht="13.5" hidden="1"/>
    <row r="20974" ht="13.5" hidden="1"/>
    <row r="20975" ht="13.5" hidden="1"/>
    <row r="20976" ht="13.5" hidden="1"/>
    <row r="20977" ht="13.5" hidden="1"/>
    <row r="20978" ht="13.5" hidden="1"/>
    <row r="20979" ht="13.5" hidden="1"/>
    <row r="20980" ht="13.5" hidden="1"/>
    <row r="20981" ht="13.5" hidden="1"/>
    <row r="20982" ht="13.5" hidden="1"/>
    <row r="20983" ht="13.5" hidden="1"/>
    <row r="20984" ht="13.5" hidden="1"/>
    <row r="20985" ht="13.5" hidden="1"/>
    <row r="20986" ht="13.5" hidden="1"/>
    <row r="20987" ht="13.5" hidden="1"/>
    <row r="20988" ht="13.5" hidden="1"/>
    <row r="20989" ht="13.5" hidden="1"/>
    <row r="20990" ht="13.5" hidden="1"/>
    <row r="20991" ht="13.5" hidden="1"/>
    <row r="20992" ht="13.5" hidden="1"/>
    <row r="20993" ht="13.5" hidden="1"/>
    <row r="20994" ht="13.5" hidden="1"/>
    <row r="20995" ht="13.5" hidden="1"/>
    <row r="20996" ht="13.5" hidden="1"/>
    <row r="20997" ht="13.5" hidden="1"/>
    <row r="20998" ht="13.5" hidden="1"/>
    <row r="20999" ht="13.5" hidden="1"/>
    <row r="21000" ht="13.5" hidden="1"/>
    <row r="21001" ht="13.5" hidden="1"/>
    <row r="21002" ht="13.5" hidden="1"/>
    <row r="21003" ht="13.5" hidden="1"/>
    <row r="21004" ht="13.5" hidden="1"/>
    <row r="21005" ht="13.5" hidden="1"/>
    <row r="21006" ht="13.5" hidden="1"/>
    <row r="21007" ht="13.5" hidden="1"/>
    <row r="21008" ht="13.5" hidden="1"/>
    <row r="21009" ht="13.5" hidden="1"/>
    <row r="21010" ht="13.5" hidden="1"/>
    <row r="21011" ht="13.5" hidden="1"/>
    <row r="21012" ht="13.5" hidden="1"/>
    <row r="21013" ht="13.5" hidden="1"/>
    <row r="21014" ht="13.5" hidden="1"/>
    <row r="21015" ht="13.5" hidden="1"/>
    <row r="21016" ht="13.5" hidden="1"/>
    <row r="21017" ht="13.5" hidden="1"/>
    <row r="21018" ht="13.5" hidden="1"/>
    <row r="21019" ht="13.5" hidden="1"/>
    <row r="21020" ht="13.5" hidden="1"/>
    <row r="21021" ht="13.5" hidden="1"/>
    <row r="21022" ht="13.5" hidden="1"/>
    <row r="21023" ht="13.5" hidden="1"/>
    <row r="21024" ht="13.5" hidden="1"/>
    <row r="21025" ht="13.5" hidden="1"/>
    <row r="21026" ht="13.5" hidden="1"/>
    <row r="21027" ht="13.5" hidden="1"/>
    <row r="21028" ht="13.5" hidden="1"/>
    <row r="21029" ht="13.5" hidden="1"/>
    <row r="21030" ht="13.5" hidden="1"/>
    <row r="21031" ht="13.5" hidden="1"/>
    <row r="21032" ht="13.5" hidden="1"/>
    <row r="21033" ht="13.5" hidden="1"/>
    <row r="21034" ht="13.5" hidden="1"/>
    <row r="21035" ht="13.5" hidden="1"/>
    <row r="21036" ht="13.5" hidden="1"/>
    <row r="21037" ht="13.5" hidden="1"/>
    <row r="21038" ht="13.5" hidden="1"/>
    <row r="21039" ht="13.5" hidden="1"/>
    <row r="21040" ht="13.5" hidden="1"/>
    <row r="21041" ht="13.5" hidden="1"/>
    <row r="21042" ht="13.5" hidden="1"/>
    <row r="21043" ht="13.5" hidden="1"/>
    <row r="21044" ht="13.5" hidden="1"/>
    <row r="21045" ht="13.5" hidden="1"/>
    <row r="21046" ht="13.5" hidden="1"/>
    <row r="21047" ht="13.5" hidden="1"/>
    <row r="21048" ht="13.5" hidden="1"/>
    <row r="21049" ht="13.5" hidden="1"/>
    <row r="21050" ht="13.5" hidden="1"/>
    <row r="21051" ht="13.5" hidden="1"/>
    <row r="21052" ht="13.5" hidden="1"/>
    <row r="21053" ht="13.5" hidden="1"/>
    <row r="21054" ht="13.5" hidden="1"/>
    <row r="21055" ht="13.5" hidden="1"/>
    <row r="21056" ht="13.5" hidden="1"/>
    <row r="21057" ht="13.5" hidden="1"/>
    <row r="21058" ht="13.5" hidden="1"/>
    <row r="21059" ht="13.5" hidden="1"/>
    <row r="21060" ht="13.5" hidden="1"/>
    <row r="21061" ht="13.5" hidden="1"/>
    <row r="21062" ht="13.5" hidden="1"/>
    <row r="21063" ht="13.5" hidden="1"/>
    <row r="21064" ht="13.5" hidden="1"/>
    <row r="21065" ht="13.5" hidden="1"/>
    <row r="21066" ht="13.5" hidden="1"/>
    <row r="21067" ht="13.5" hidden="1"/>
    <row r="21068" ht="13.5" hidden="1"/>
    <row r="21069" ht="13.5" hidden="1"/>
    <row r="21070" ht="13.5" hidden="1"/>
    <row r="21071" ht="13.5" hidden="1"/>
    <row r="21072" ht="13.5" hidden="1"/>
    <row r="21073" ht="13.5" hidden="1"/>
    <row r="21074" ht="13.5" hidden="1"/>
    <row r="21075" ht="13.5" hidden="1"/>
    <row r="21076" ht="13.5" hidden="1"/>
    <row r="21077" ht="13.5" hidden="1"/>
    <row r="21078" ht="13.5" hidden="1"/>
    <row r="21079" ht="13.5" hidden="1"/>
    <row r="21080" ht="13.5" hidden="1"/>
    <row r="21081" ht="13.5" hidden="1"/>
    <row r="21082" ht="13.5" hidden="1"/>
    <row r="21083" ht="13.5" hidden="1"/>
    <row r="21084" ht="13.5" hidden="1"/>
    <row r="21085" ht="13.5" hidden="1"/>
    <row r="21086" ht="13.5" hidden="1"/>
    <row r="21087" ht="13.5" hidden="1"/>
    <row r="21088" ht="13.5" hidden="1"/>
    <row r="21089" ht="13.5" hidden="1"/>
    <row r="21090" ht="13.5" hidden="1"/>
    <row r="21091" ht="13.5" hidden="1"/>
    <row r="21092" ht="13.5" hidden="1"/>
    <row r="21093" ht="13.5" hidden="1"/>
    <row r="21094" ht="13.5" hidden="1"/>
    <row r="21095" ht="13.5" hidden="1"/>
    <row r="21096" ht="13.5" hidden="1"/>
    <row r="21097" ht="13.5" hidden="1"/>
    <row r="21098" ht="13.5" hidden="1"/>
    <row r="21099" ht="13.5" hidden="1"/>
    <row r="21100" ht="13.5" hidden="1"/>
    <row r="21101" ht="13.5" hidden="1"/>
    <row r="21102" ht="13.5" hidden="1"/>
    <row r="21103" ht="13.5" hidden="1"/>
    <row r="21104" ht="13.5" hidden="1"/>
    <row r="21105" ht="13.5" hidden="1"/>
    <row r="21106" ht="13.5" hidden="1"/>
    <row r="21107" ht="13.5" hidden="1"/>
    <row r="21108" ht="13.5" hidden="1"/>
    <row r="21109" ht="13.5" hidden="1"/>
    <row r="21110" ht="13.5" hidden="1"/>
    <row r="21111" ht="13.5" hidden="1"/>
    <row r="21112" ht="13.5" hidden="1"/>
    <row r="21113" ht="13.5" hidden="1"/>
    <row r="21114" ht="13.5" hidden="1"/>
    <row r="21115" ht="13.5" hidden="1"/>
    <row r="21116" ht="13.5" hidden="1"/>
    <row r="21117" ht="13.5" hidden="1"/>
    <row r="21118" ht="13.5" hidden="1"/>
    <row r="21119" ht="13.5" hidden="1"/>
    <row r="21120" ht="13.5" hidden="1"/>
    <row r="21121" ht="13.5" hidden="1"/>
    <row r="21122" ht="13.5" hidden="1"/>
    <row r="21123" ht="13.5" hidden="1"/>
    <row r="21124" ht="13.5" hidden="1"/>
    <row r="21125" ht="13.5" hidden="1"/>
    <row r="21126" ht="13.5" hidden="1"/>
    <row r="21127" ht="13.5" hidden="1"/>
    <row r="21128" ht="13.5" hidden="1"/>
    <row r="21129" ht="13.5" hidden="1"/>
    <row r="21130" ht="13.5" hidden="1"/>
    <row r="21131" ht="13.5" hidden="1"/>
    <row r="21132" ht="13.5" hidden="1"/>
    <row r="21133" ht="13.5" hidden="1"/>
    <row r="21134" ht="13.5" hidden="1"/>
    <row r="21135" ht="13.5" hidden="1"/>
    <row r="21136" ht="13.5" hidden="1"/>
    <row r="21137" ht="13.5" hidden="1"/>
    <row r="21138" ht="13.5" hidden="1"/>
    <row r="21139" ht="13.5" hidden="1"/>
    <row r="21140" ht="13.5" hidden="1"/>
    <row r="21141" ht="13.5" hidden="1"/>
    <row r="21142" ht="13.5" hidden="1"/>
    <row r="21143" ht="13.5" hidden="1"/>
    <row r="21144" ht="13.5" hidden="1"/>
    <row r="21145" ht="13.5" hidden="1"/>
    <row r="21146" ht="13.5" hidden="1"/>
    <row r="21147" ht="13.5" hidden="1"/>
    <row r="21148" ht="13.5" hidden="1"/>
    <row r="21149" ht="13.5" hidden="1"/>
    <row r="21150" ht="13.5" hidden="1"/>
    <row r="21151" ht="13.5" hidden="1"/>
    <row r="21152" ht="13.5" hidden="1"/>
    <row r="21153" ht="13.5" hidden="1"/>
    <row r="21154" ht="13.5" hidden="1"/>
    <row r="21155" ht="13.5" hidden="1"/>
    <row r="21156" ht="13.5" hidden="1"/>
    <row r="21157" ht="13.5" hidden="1"/>
    <row r="21158" ht="13.5" hidden="1"/>
    <row r="21159" ht="13.5" hidden="1"/>
    <row r="21160" ht="13.5" hidden="1"/>
    <row r="21161" ht="13.5" hidden="1"/>
    <row r="21162" ht="13.5" hidden="1"/>
    <row r="21163" ht="13.5" hidden="1"/>
    <row r="21164" ht="13.5" hidden="1"/>
    <row r="21165" ht="13.5" hidden="1"/>
    <row r="21166" ht="13.5" hidden="1"/>
    <row r="21167" ht="13.5" hidden="1"/>
    <row r="21168" ht="13.5" hidden="1"/>
    <row r="21169" ht="13.5" hidden="1"/>
    <row r="21170" ht="13.5" hidden="1"/>
    <row r="21171" ht="13.5" hidden="1"/>
    <row r="21172" ht="13.5" hidden="1"/>
    <row r="21173" ht="13.5" hidden="1"/>
    <row r="21174" ht="13.5" hidden="1"/>
    <row r="21175" ht="13.5" hidden="1"/>
    <row r="21176" ht="13.5" hidden="1"/>
    <row r="21177" ht="13.5" hidden="1"/>
    <row r="21178" ht="13.5" hidden="1"/>
    <row r="21179" ht="13.5" hidden="1"/>
    <row r="21180" ht="13.5" hidden="1"/>
    <row r="21181" ht="13.5" hidden="1"/>
    <row r="21182" ht="13.5" hidden="1"/>
    <row r="21183" ht="13.5" hidden="1"/>
    <row r="21184" ht="13.5" hidden="1"/>
    <row r="21185" ht="13.5" hidden="1"/>
    <row r="21186" ht="13.5" hidden="1"/>
    <row r="21187" ht="13.5" hidden="1"/>
    <row r="21188" ht="13.5" hidden="1"/>
    <row r="21189" ht="13.5" hidden="1"/>
    <row r="21190" ht="13.5" hidden="1"/>
    <row r="21191" ht="13.5" hidden="1"/>
    <row r="21192" ht="13.5" hidden="1"/>
    <row r="21193" ht="13.5" hidden="1"/>
    <row r="21194" ht="13.5" hidden="1"/>
    <row r="21195" ht="13.5" hidden="1"/>
    <row r="21196" ht="13.5" hidden="1"/>
    <row r="21197" ht="13.5" hidden="1"/>
    <row r="21198" ht="13.5" hidden="1"/>
    <row r="21199" ht="13.5" hidden="1"/>
    <row r="21200" ht="13.5" hidden="1"/>
    <row r="21201" ht="13.5" hidden="1"/>
    <row r="21202" ht="13.5" hidden="1"/>
    <row r="21203" ht="13.5" hidden="1"/>
    <row r="21204" ht="13.5" hidden="1"/>
    <row r="21205" ht="13.5" hidden="1"/>
    <row r="21206" ht="13.5" hidden="1"/>
    <row r="21207" ht="13.5" hidden="1"/>
    <row r="21208" ht="13.5" hidden="1"/>
    <row r="21209" ht="13.5" hidden="1"/>
    <row r="21210" ht="13.5" hidden="1"/>
    <row r="21211" ht="13.5" hidden="1"/>
    <row r="21212" ht="13.5" hidden="1"/>
    <row r="21213" ht="13.5" hidden="1"/>
    <row r="21214" ht="13.5" hidden="1"/>
    <row r="21215" ht="13.5" hidden="1"/>
    <row r="21216" ht="13.5" hidden="1"/>
    <row r="21217" ht="13.5" hidden="1"/>
    <row r="21218" ht="13.5" hidden="1"/>
    <row r="21219" ht="13.5" hidden="1"/>
    <row r="21220" ht="13.5" hidden="1"/>
    <row r="21221" ht="13.5" hidden="1"/>
    <row r="21222" ht="13.5" hidden="1"/>
    <row r="21223" ht="13.5" hidden="1"/>
    <row r="21224" ht="13.5" hidden="1"/>
    <row r="21225" ht="13.5" hidden="1"/>
    <row r="21226" ht="13.5" hidden="1"/>
    <row r="21227" ht="13.5" hidden="1"/>
    <row r="21228" ht="13.5" hidden="1"/>
    <row r="21229" ht="13.5" hidden="1"/>
    <row r="21230" ht="13.5" hidden="1"/>
    <row r="21231" ht="13.5" hidden="1"/>
    <row r="21232" ht="13.5" hidden="1"/>
    <row r="21233" ht="13.5" hidden="1"/>
    <row r="21234" ht="13.5" hidden="1"/>
    <row r="21235" ht="13.5" hidden="1"/>
    <row r="21236" ht="13.5" hidden="1"/>
    <row r="21237" ht="13.5" hidden="1"/>
    <row r="21238" ht="13.5" hidden="1"/>
    <row r="21239" ht="13.5" hidden="1"/>
    <row r="21240" ht="13.5" hidden="1"/>
    <row r="21241" ht="13.5" hidden="1"/>
    <row r="21242" ht="13.5" hidden="1"/>
    <row r="21243" ht="13.5" hidden="1"/>
    <row r="21244" ht="13.5" hidden="1"/>
    <row r="21245" ht="13.5" hidden="1"/>
    <row r="21246" ht="13.5" hidden="1"/>
    <row r="21247" ht="13.5" hidden="1"/>
    <row r="21248" ht="13.5" hidden="1"/>
    <row r="21249" ht="13.5" hidden="1"/>
    <row r="21250" ht="13.5" hidden="1"/>
    <row r="21251" ht="13.5" hidden="1"/>
    <row r="21252" ht="13.5" hidden="1"/>
    <row r="21253" ht="13.5" hidden="1"/>
    <row r="21254" ht="13.5" hidden="1"/>
    <row r="21255" ht="13.5" hidden="1"/>
    <row r="21256" ht="13.5" hidden="1"/>
    <row r="21257" ht="13.5" hidden="1"/>
    <row r="21258" ht="13.5" hidden="1"/>
    <row r="21259" ht="13.5" hidden="1"/>
    <row r="21260" ht="13.5" hidden="1"/>
    <row r="21261" ht="13.5" hidden="1"/>
    <row r="21262" ht="13.5" hidden="1"/>
    <row r="21263" ht="13.5" hidden="1"/>
    <row r="21264" ht="13.5" hidden="1"/>
    <row r="21265" ht="13.5" hidden="1"/>
    <row r="21266" ht="13.5" hidden="1"/>
    <row r="21267" ht="13.5" hidden="1"/>
    <row r="21268" ht="13.5" hidden="1"/>
    <row r="21269" ht="13.5" hidden="1"/>
    <row r="21270" ht="13.5" hidden="1"/>
    <row r="21271" ht="13.5" hidden="1"/>
    <row r="21272" ht="13.5" hidden="1"/>
    <row r="21273" ht="13.5" hidden="1"/>
    <row r="21274" ht="13.5" hidden="1"/>
    <row r="21275" ht="13.5" hidden="1"/>
    <row r="21276" ht="13.5" hidden="1"/>
    <row r="21277" ht="13.5" hidden="1"/>
    <row r="21278" ht="13.5" hidden="1"/>
    <row r="21279" ht="13.5" hidden="1"/>
    <row r="21280" ht="13.5" hidden="1"/>
    <row r="21281" ht="13.5" hidden="1"/>
    <row r="21282" ht="13.5" hidden="1"/>
    <row r="21283" ht="13.5" hidden="1"/>
    <row r="21284" ht="13.5" hidden="1"/>
    <row r="21285" ht="13.5" hidden="1"/>
    <row r="21286" ht="13.5" hidden="1"/>
    <row r="21287" ht="13.5" hidden="1"/>
    <row r="21288" ht="13.5" hidden="1"/>
    <row r="21289" ht="13.5" hidden="1"/>
    <row r="21290" ht="13.5" hidden="1"/>
    <row r="21291" ht="13.5" hidden="1"/>
    <row r="21292" ht="13.5" hidden="1"/>
    <row r="21293" ht="13.5" hidden="1"/>
    <row r="21294" ht="13.5" hidden="1"/>
    <row r="21295" ht="13.5" hidden="1"/>
    <row r="21296" ht="13.5" hidden="1"/>
    <row r="21297" ht="13.5" hidden="1"/>
    <row r="21298" ht="13.5" hidden="1"/>
    <row r="21299" ht="13.5" hidden="1"/>
    <row r="21300" ht="13.5" hidden="1"/>
    <row r="21301" ht="13.5" hidden="1"/>
    <row r="21302" ht="13.5" hidden="1"/>
    <row r="21303" ht="13.5" hidden="1"/>
    <row r="21304" ht="13.5" hidden="1"/>
    <row r="21305" ht="13.5" hidden="1"/>
    <row r="21306" ht="13.5" hidden="1"/>
    <row r="21307" ht="13.5" hidden="1"/>
    <row r="21308" ht="13.5" hidden="1"/>
    <row r="21309" ht="13.5" hidden="1"/>
    <row r="21310" ht="13.5" hidden="1"/>
    <row r="21311" ht="13.5" hidden="1"/>
    <row r="21312" ht="13.5" hidden="1"/>
    <row r="21313" ht="13.5" hidden="1"/>
    <row r="21314" ht="13.5" hidden="1"/>
    <row r="21315" ht="13.5" hidden="1"/>
    <row r="21316" ht="13.5" hidden="1"/>
    <row r="21317" ht="13.5" hidden="1"/>
    <row r="21318" ht="13.5" hidden="1"/>
    <row r="21319" ht="13.5" hidden="1"/>
    <row r="21320" ht="13.5" hidden="1"/>
    <row r="21321" ht="13.5" hidden="1"/>
    <row r="21322" ht="13.5" hidden="1"/>
    <row r="21323" ht="13.5" hidden="1"/>
    <row r="21324" ht="13.5" hidden="1"/>
    <row r="21325" ht="13.5" hidden="1"/>
    <row r="21326" ht="13.5" hidden="1"/>
    <row r="21327" ht="13.5" hidden="1"/>
    <row r="21328" ht="13.5" hidden="1"/>
    <row r="21329" ht="13.5" hidden="1"/>
    <row r="21330" ht="13.5" hidden="1"/>
    <row r="21331" ht="13.5" hidden="1"/>
    <row r="21332" ht="13.5" hidden="1"/>
    <row r="21333" ht="13.5" hidden="1"/>
    <row r="21334" ht="13.5" hidden="1"/>
    <row r="21335" ht="13.5" hidden="1"/>
    <row r="21336" ht="13.5" hidden="1"/>
    <row r="21337" ht="13.5" hidden="1"/>
    <row r="21338" ht="13.5" hidden="1"/>
    <row r="21339" ht="13.5" hidden="1"/>
    <row r="21340" ht="13.5" hidden="1"/>
    <row r="21341" ht="13.5" hidden="1"/>
    <row r="21342" ht="13.5" hidden="1"/>
    <row r="21343" ht="13.5" hidden="1"/>
    <row r="21344" ht="13.5" hidden="1"/>
    <row r="21345" ht="13.5" hidden="1"/>
    <row r="21346" ht="13.5" hidden="1"/>
    <row r="21347" ht="13.5" hidden="1"/>
    <row r="21348" ht="13.5" hidden="1"/>
    <row r="21349" ht="13.5" hidden="1"/>
    <row r="21350" ht="13.5" hidden="1"/>
    <row r="21351" ht="13.5" hidden="1"/>
    <row r="21352" ht="13.5" hidden="1"/>
    <row r="21353" ht="13.5" hidden="1"/>
    <row r="21354" ht="13.5" hidden="1"/>
    <row r="21355" ht="13.5" hidden="1"/>
    <row r="21356" ht="13.5" hidden="1"/>
    <row r="21357" ht="13.5" hidden="1"/>
    <row r="21358" ht="13.5" hidden="1"/>
    <row r="21359" ht="13.5" hidden="1"/>
    <row r="21360" ht="13.5" hidden="1"/>
    <row r="21361" ht="13.5" hidden="1"/>
    <row r="21362" ht="13.5" hidden="1"/>
    <row r="21363" ht="13.5" hidden="1"/>
    <row r="21364" ht="13.5" hidden="1"/>
    <row r="21365" ht="13.5" hidden="1"/>
    <row r="21366" ht="13.5" hidden="1"/>
    <row r="21367" ht="13.5" hidden="1"/>
    <row r="21368" ht="13.5" hidden="1"/>
    <row r="21369" ht="13.5" hidden="1"/>
    <row r="21370" ht="13.5" hidden="1"/>
    <row r="21371" ht="13.5" hidden="1"/>
    <row r="21372" ht="13.5" hidden="1"/>
    <row r="21373" ht="13.5" hidden="1"/>
    <row r="21374" ht="13.5" hidden="1"/>
    <row r="21375" ht="13.5" hidden="1"/>
    <row r="21376" ht="13.5" hidden="1"/>
    <row r="21377" ht="13.5" hidden="1"/>
    <row r="21378" ht="13.5" hidden="1"/>
    <row r="21379" ht="13.5" hidden="1"/>
    <row r="21380" ht="13.5" hidden="1"/>
    <row r="21381" ht="13.5" hidden="1"/>
    <row r="21382" ht="13.5" hidden="1"/>
    <row r="21383" ht="13.5" hidden="1"/>
    <row r="21384" ht="13.5" hidden="1"/>
    <row r="21385" ht="13.5" hidden="1"/>
    <row r="21386" ht="13.5" hidden="1"/>
    <row r="21387" ht="13.5" hidden="1"/>
    <row r="21388" ht="13.5" hidden="1"/>
    <row r="21389" ht="13.5" hidden="1"/>
    <row r="21390" ht="13.5" hidden="1"/>
    <row r="21391" ht="13.5" hidden="1"/>
    <row r="21392" ht="13.5" hidden="1"/>
    <row r="21393" ht="13.5" hidden="1"/>
    <row r="21394" ht="13.5" hidden="1"/>
    <row r="21395" ht="13.5" hidden="1"/>
    <row r="21396" ht="13.5" hidden="1"/>
    <row r="21397" ht="13.5" hidden="1"/>
    <row r="21398" ht="13.5" hidden="1"/>
    <row r="21399" ht="13.5" hidden="1"/>
    <row r="21400" ht="13.5" hidden="1"/>
    <row r="21401" ht="13.5" hidden="1"/>
    <row r="21402" ht="13.5" hidden="1"/>
    <row r="21403" ht="13.5" hidden="1"/>
    <row r="21404" ht="13.5" hidden="1"/>
    <row r="21405" ht="13.5" hidden="1"/>
    <row r="21406" ht="13.5" hidden="1"/>
    <row r="21407" ht="13.5" hidden="1"/>
    <row r="21408" ht="13.5" hidden="1"/>
    <row r="21409" ht="13.5" hidden="1"/>
    <row r="21410" ht="13.5" hidden="1"/>
    <row r="21411" ht="13.5" hidden="1"/>
    <row r="21412" ht="13.5" hidden="1"/>
    <row r="21413" ht="13.5" hidden="1"/>
    <row r="21414" ht="13.5" hidden="1"/>
    <row r="21415" ht="13.5" hidden="1"/>
    <row r="21416" ht="13.5" hidden="1"/>
    <row r="21417" ht="13.5" hidden="1"/>
    <row r="21418" ht="13.5" hidden="1"/>
    <row r="21419" ht="13.5" hidden="1"/>
    <row r="21420" ht="13.5" hidden="1"/>
    <row r="21421" ht="13.5" hidden="1"/>
    <row r="21422" ht="13.5" hidden="1"/>
    <row r="21423" ht="13.5" hidden="1"/>
    <row r="21424" ht="13.5" hidden="1"/>
    <row r="21425" ht="13.5" hidden="1"/>
    <row r="21426" ht="13.5" hidden="1"/>
    <row r="21427" ht="13.5" hidden="1"/>
    <row r="21428" ht="13.5" hidden="1"/>
    <row r="21429" ht="13.5" hidden="1"/>
    <row r="21430" ht="13.5" hidden="1"/>
    <row r="21431" ht="13.5" hidden="1"/>
    <row r="21432" ht="13.5" hidden="1"/>
    <row r="21433" ht="13.5" hidden="1"/>
    <row r="21434" ht="13.5" hidden="1"/>
    <row r="21435" ht="13.5" hidden="1"/>
    <row r="21436" ht="13.5" hidden="1"/>
    <row r="21437" ht="13.5" hidden="1"/>
    <row r="21438" ht="13.5" hidden="1"/>
    <row r="21439" ht="13.5" hidden="1"/>
    <row r="21440" ht="13.5" hidden="1"/>
    <row r="21441" ht="13.5" hidden="1"/>
    <row r="21442" ht="13.5" hidden="1"/>
    <row r="21443" ht="13.5" hidden="1"/>
    <row r="21444" ht="13.5" hidden="1"/>
    <row r="21445" ht="13.5" hidden="1"/>
    <row r="21446" ht="13.5" hidden="1"/>
    <row r="21447" ht="13.5" hidden="1"/>
    <row r="21448" ht="13.5" hidden="1"/>
    <row r="21449" ht="13.5" hidden="1"/>
    <row r="21450" ht="13.5" hidden="1"/>
    <row r="21451" ht="13.5" hidden="1"/>
    <row r="21452" ht="13.5" hidden="1"/>
    <row r="21453" ht="13.5" hidden="1"/>
    <row r="21454" ht="13.5" hidden="1"/>
    <row r="21455" ht="13.5" hidden="1"/>
    <row r="21456" ht="13.5" hidden="1"/>
    <row r="21457" ht="13.5" hidden="1"/>
    <row r="21458" ht="13.5" hidden="1"/>
    <row r="21459" ht="13.5" hidden="1"/>
    <row r="21460" ht="13.5" hidden="1"/>
    <row r="21461" ht="13.5" hidden="1"/>
    <row r="21462" ht="13.5" hidden="1"/>
    <row r="21463" ht="13.5" hidden="1"/>
    <row r="21464" ht="13.5" hidden="1"/>
    <row r="21465" ht="13.5" hidden="1"/>
    <row r="21466" ht="13.5" hidden="1"/>
    <row r="21467" ht="13.5" hidden="1"/>
    <row r="21468" ht="13.5" hidden="1"/>
    <row r="21469" ht="13.5" hidden="1"/>
    <row r="21470" ht="13.5" hidden="1"/>
    <row r="21471" ht="13.5" hidden="1"/>
    <row r="21472" ht="13.5" hidden="1"/>
    <row r="21473" ht="13.5" hidden="1"/>
    <row r="21474" ht="13.5" hidden="1"/>
    <row r="21475" ht="13.5" hidden="1"/>
    <row r="21476" ht="13.5" hidden="1"/>
    <row r="21477" ht="13.5" hidden="1"/>
    <row r="21478" ht="13.5" hidden="1"/>
    <row r="21479" ht="13.5" hidden="1"/>
    <row r="21480" ht="13.5" hidden="1"/>
    <row r="21481" ht="13.5" hidden="1"/>
    <row r="21482" ht="13.5" hidden="1"/>
    <row r="21483" ht="13.5" hidden="1"/>
    <row r="21484" ht="13.5" hidden="1"/>
    <row r="21485" ht="13.5" hidden="1"/>
    <row r="21486" ht="13.5" hidden="1"/>
    <row r="21487" ht="13.5" hidden="1"/>
    <row r="21488" ht="13.5" hidden="1"/>
    <row r="21489" ht="13.5" hidden="1"/>
    <row r="21490" ht="13.5" hidden="1"/>
    <row r="21491" ht="13.5" hidden="1"/>
    <row r="21492" ht="13.5" hidden="1"/>
    <row r="21493" ht="13.5" hidden="1"/>
    <row r="21494" ht="13.5" hidden="1"/>
    <row r="21495" ht="13.5" hidden="1"/>
    <row r="21496" ht="13.5" hidden="1"/>
    <row r="21497" ht="13.5" hidden="1"/>
    <row r="21498" ht="13.5" hidden="1"/>
    <row r="21499" ht="13.5" hidden="1"/>
    <row r="21500" ht="13.5" hidden="1"/>
    <row r="21501" ht="13.5" hidden="1"/>
    <row r="21502" ht="13.5" hidden="1"/>
    <row r="21503" ht="13.5" hidden="1"/>
    <row r="21504" ht="13.5" hidden="1"/>
    <row r="21505" ht="13.5" hidden="1"/>
    <row r="21506" ht="13.5" hidden="1"/>
    <row r="21507" ht="13.5" hidden="1"/>
    <row r="21508" ht="13.5" hidden="1"/>
    <row r="21509" ht="13.5" hidden="1"/>
    <row r="21510" ht="13.5" hidden="1"/>
    <row r="21511" ht="13.5" hidden="1"/>
    <row r="21512" ht="13.5" hidden="1"/>
    <row r="21513" ht="13.5" hidden="1"/>
    <row r="21514" ht="13.5" hidden="1"/>
    <row r="21515" ht="13.5" hidden="1"/>
    <row r="21516" ht="13.5" hidden="1"/>
    <row r="21517" ht="13.5" hidden="1"/>
    <row r="21518" ht="13.5" hidden="1"/>
    <row r="21519" ht="13.5" hidden="1"/>
    <row r="21520" ht="13.5" hidden="1"/>
    <row r="21521" ht="13.5" hidden="1"/>
    <row r="21522" ht="13.5" hidden="1"/>
    <row r="21523" ht="13.5" hidden="1"/>
    <row r="21524" ht="13.5" hidden="1"/>
    <row r="21525" ht="13.5" hidden="1"/>
    <row r="21526" ht="13.5" hidden="1"/>
    <row r="21527" ht="13.5" hidden="1"/>
    <row r="21528" ht="13.5" hidden="1"/>
    <row r="21529" ht="13.5" hidden="1"/>
    <row r="21530" ht="13.5" hidden="1"/>
    <row r="21531" ht="13.5" hidden="1"/>
    <row r="21532" ht="13.5" hidden="1"/>
    <row r="21533" ht="13.5" hidden="1"/>
    <row r="21534" ht="13.5" hidden="1"/>
    <row r="21535" ht="13.5" hidden="1"/>
    <row r="21536" ht="13.5" hidden="1"/>
    <row r="21537" ht="13.5" hidden="1"/>
    <row r="21538" ht="13.5" hidden="1"/>
    <row r="21539" ht="13.5" hidden="1"/>
    <row r="21540" ht="13.5" hidden="1"/>
    <row r="21541" ht="13.5" hidden="1"/>
    <row r="21542" ht="13.5" hidden="1"/>
    <row r="21543" ht="13.5" hidden="1"/>
    <row r="21544" ht="13.5" hidden="1"/>
    <row r="21545" ht="13.5" hidden="1"/>
    <row r="21546" ht="13.5" hidden="1"/>
    <row r="21547" ht="13.5" hidden="1"/>
    <row r="21548" ht="13.5" hidden="1"/>
    <row r="21549" ht="13.5" hidden="1"/>
    <row r="21550" ht="13.5" hidden="1"/>
    <row r="21551" ht="13.5" hidden="1"/>
    <row r="21552" ht="13.5" hidden="1"/>
    <row r="21553" ht="13.5" hidden="1"/>
    <row r="21554" ht="13.5" hidden="1"/>
    <row r="21555" ht="13.5" hidden="1"/>
    <row r="21556" ht="13.5" hidden="1"/>
    <row r="21557" ht="13.5" hidden="1"/>
    <row r="21558" ht="13.5" hidden="1"/>
    <row r="21559" ht="13.5" hidden="1"/>
    <row r="21560" ht="13.5" hidden="1"/>
    <row r="21561" ht="13.5" hidden="1"/>
    <row r="21562" ht="13.5" hidden="1"/>
    <row r="21563" ht="13.5" hidden="1"/>
    <row r="21564" ht="13.5" hidden="1"/>
    <row r="21565" ht="13.5" hidden="1"/>
    <row r="21566" ht="13.5" hidden="1"/>
    <row r="21567" ht="13.5" hidden="1"/>
    <row r="21568" ht="13.5" hidden="1"/>
    <row r="21569" ht="13.5" hidden="1"/>
    <row r="21570" ht="13.5" hidden="1"/>
    <row r="21571" ht="13.5" hidden="1"/>
    <row r="21572" ht="13.5" hidden="1"/>
    <row r="21573" ht="13.5" hidden="1"/>
    <row r="21574" ht="13.5" hidden="1"/>
    <row r="21575" ht="13.5" hidden="1"/>
    <row r="21576" ht="13.5" hidden="1"/>
    <row r="21577" ht="13.5" hidden="1"/>
    <row r="21578" ht="13.5" hidden="1"/>
    <row r="21579" ht="13.5" hidden="1"/>
    <row r="21580" ht="13.5" hidden="1"/>
    <row r="21581" ht="13.5" hidden="1"/>
    <row r="21582" ht="13.5" hidden="1"/>
    <row r="21583" ht="13.5" hidden="1"/>
    <row r="21584" ht="13.5" hidden="1"/>
    <row r="21585" ht="13.5" hidden="1"/>
    <row r="21586" ht="13.5" hidden="1"/>
    <row r="21587" ht="13.5" hidden="1"/>
    <row r="21588" ht="13.5" hidden="1"/>
    <row r="21589" ht="13.5" hidden="1"/>
    <row r="21590" ht="13.5" hidden="1"/>
    <row r="21591" ht="13.5" hidden="1"/>
    <row r="21592" ht="13.5" hidden="1"/>
    <row r="21593" ht="13.5" hidden="1"/>
    <row r="21594" ht="13.5" hidden="1"/>
    <row r="21595" ht="13.5" hidden="1"/>
    <row r="21596" ht="13.5" hidden="1"/>
    <row r="21597" ht="13.5" hidden="1"/>
    <row r="21598" ht="13.5" hidden="1"/>
    <row r="21599" ht="13.5" hidden="1"/>
    <row r="21600" ht="13.5" hidden="1"/>
    <row r="21601" ht="13.5" hidden="1"/>
    <row r="21602" ht="13.5" hidden="1"/>
    <row r="21603" ht="13.5" hidden="1"/>
    <row r="21604" ht="13.5" hidden="1"/>
    <row r="21605" ht="13.5" hidden="1"/>
    <row r="21606" ht="13.5" hidden="1"/>
    <row r="21607" ht="13.5" hidden="1"/>
    <row r="21608" ht="13.5" hidden="1"/>
    <row r="21609" ht="13.5" hidden="1"/>
    <row r="21610" ht="13.5" hidden="1"/>
    <row r="21611" ht="13.5" hidden="1"/>
    <row r="21612" ht="13.5" hidden="1"/>
    <row r="21613" ht="13.5" hidden="1"/>
    <row r="21614" ht="13.5" hidden="1"/>
    <row r="21615" ht="13.5" hidden="1"/>
    <row r="21616" ht="13.5" hidden="1"/>
    <row r="21617" ht="13.5" hidden="1"/>
    <row r="21618" ht="13.5" hidden="1"/>
    <row r="21619" ht="13.5" hidden="1"/>
    <row r="21620" ht="13.5" hidden="1"/>
    <row r="21621" ht="13.5" hidden="1"/>
    <row r="21622" ht="13.5" hidden="1"/>
    <row r="21623" ht="13.5" hidden="1"/>
    <row r="21624" ht="13.5" hidden="1"/>
    <row r="21625" ht="13.5" hidden="1"/>
    <row r="21626" ht="13.5" hidden="1"/>
    <row r="21627" ht="13.5" hidden="1"/>
    <row r="21628" ht="13.5" hidden="1"/>
    <row r="21629" ht="13.5" hidden="1"/>
    <row r="21630" ht="13.5" hidden="1"/>
    <row r="21631" ht="13.5" hidden="1"/>
    <row r="21632" ht="13.5" hidden="1"/>
    <row r="21633" ht="13.5" hidden="1"/>
    <row r="21634" ht="13.5" hidden="1"/>
    <row r="21635" ht="13.5" hidden="1"/>
    <row r="21636" ht="13.5" hidden="1"/>
    <row r="21637" ht="13.5" hidden="1"/>
    <row r="21638" ht="13.5" hidden="1"/>
    <row r="21639" ht="13.5" hidden="1"/>
    <row r="21640" ht="13.5" hidden="1"/>
    <row r="21641" ht="13.5" hidden="1"/>
    <row r="21642" ht="13.5" hidden="1"/>
    <row r="21643" ht="13.5" hidden="1"/>
    <row r="21644" ht="13.5" hidden="1"/>
    <row r="21645" ht="13.5" hidden="1"/>
    <row r="21646" ht="13.5" hidden="1"/>
    <row r="21647" ht="13.5" hidden="1"/>
    <row r="21648" ht="13.5" hidden="1"/>
    <row r="21649" ht="13.5" hidden="1"/>
    <row r="21650" ht="13.5" hidden="1"/>
    <row r="21651" ht="13.5" hidden="1"/>
    <row r="21652" ht="13.5" hidden="1"/>
    <row r="21653" ht="13.5" hidden="1"/>
    <row r="21654" ht="13.5" hidden="1"/>
    <row r="21655" ht="13.5" hidden="1"/>
    <row r="21656" ht="13.5" hidden="1"/>
    <row r="21657" ht="13.5" hidden="1"/>
    <row r="21658" ht="13.5" hidden="1"/>
    <row r="21659" ht="13.5" hidden="1"/>
    <row r="21660" ht="13.5" hidden="1"/>
    <row r="21661" ht="13.5" hidden="1"/>
    <row r="21662" ht="13.5" hidden="1"/>
    <row r="21663" ht="13.5" hidden="1"/>
    <row r="21664" ht="13.5" hidden="1"/>
    <row r="21665" ht="13.5" hidden="1"/>
    <row r="21666" ht="13.5" hidden="1"/>
    <row r="21667" ht="13.5" hidden="1"/>
    <row r="21668" ht="13.5" hidden="1"/>
    <row r="21669" ht="13.5" hidden="1"/>
    <row r="21670" ht="13.5" hidden="1"/>
    <row r="21671" ht="13.5" hidden="1"/>
    <row r="21672" ht="13.5" hidden="1"/>
    <row r="21673" ht="13.5" hidden="1"/>
    <row r="21674" ht="13.5" hidden="1"/>
    <row r="21675" ht="13.5" hidden="1"/>
    <row r="21676" ht="13.5" hidden="1"/>
    <row r="21677" ht="13.5" hidden="1"/>
    <row r="21678" ht="13.5" hidden="1"/>
    <row r="21679" ht="13.5" hidden="1"/>
    <row r="21680" ht="13.5" hidden="1"/>
    <row r="21681" ht="13.5" hidden="1"/>
    <row r="21682" ht="13.5" hidden="1"/>
    <row r="21683" ht="13.5" hidden="1"/>
    <row r="21684" ht="13.5" hidden="1"/>
    <row r="21685" ht="13.5" hidden="1"/>
    <row r="21686" ht="13.5" hidden="1"/>
    <row r="21687" ht="13.5" hidden="1"/>
    <row r="21688" ht="13.5" hidden="1"/>
    <row r="21689" ht="13.5" hidden="1"/>
    <row r="21690" ht="13.5" hidden="1"/>
    <row r="21691" ht="13.5" hidden="1"/>
    <row r="21692" ht="13.5" hidden="1"/>
    <row r="21693" ht="13.5" hidden="1"/>
    <row r="21694" ht="13.5" hidden="1"/>
    <row r="21695" ht="13.5" hidden="1"/>
    <row r="21696" ht="13.5" hidden="1"/>
    <row r="21697" ht="13.5" hidden="1"/>
    <row r="21698" ht="13.5" hidden="1"/>
    <row r="21699" ht="13.5" hidden="1"/>
    <row r="21700" ht="13.5" hidden="1"/>
    <row r="21701" ht="13.5" hidden="1"/>
    <row r="21702" ht="13.5" hidden="1"/>
    <row r="21703" ht="13.5" hidden="1"/>
    <row r="21704" ht="13.5" hidden="1"/>
    <row r="21705" ht="13.5" hidden="1"/>
    <row r="21706" ht="13.5" hidden="1"/>
    <row r="21707" ht="13.5" hidden="1"/>
    <row r="21708" ht="13.5" hidden="1"/>
    <row r="21709" ht="13.5" hidden="1"/>
    <row r="21710" ht="13.5" hidden="1"/>
    <row r="21711" ht="13.5" hidden="1"/>
    <row r="21712" ht="13.5" hidden="1"/>
    <row r="21713" ht="13.5" hidden="1"/>
    <row r="21714" ht="13.5" hidden="1"/>
    <row r="21715" ht="13.5" hidden="1"/>
    <row r="21716" ht="13.5" hidden="1"/>
    <row r="21717" ht="13.5" hidden="1"/>
    <row r="21718" ht="13.5" hidden="1"/>
    <row r="21719" ht="13.5" hidden="1"/>
    <row r="21720" ht="13.5" hidden="1"/>
    <row r="21721" ht="13.5" hidden="1"/>
    <row r="21722" ht="13.5" hidden="1"/>
    <row r="21723" ht="13.5" hidden="1"/>
    <row r="21724" ht="13.5" hidden="1"/>
    <row r="21725" ht="13.5" hidden="1"/>
    <row r="21726" ht="13.5" hidden="1"/>
    <row r="21727" ht="13.5" hidden="1"/>
    <row r="21728" ht="13.5" hidden="1"/>
    <row r="21729" ht="13.5" hidden="1"/>
    <row r="21730" ht="13.5" hidden="1"/>
    <row r="21731" ht="13.5" hidden="1"/>
    <row r="21732" ht="13.5" hidden="1"/>
    <row r="21733" ht="13.5" hidden="1"/>
    <row r="21734" ht="13.5" hidden="1"/>
    <row r="21735" ht="13.5" hidden="1"/>
    <row r="21736" ht="13.5" hidden="1"/>
    <row r="21737" ht="13.5" hidden="1"/>
    <row r="21738" ht="13.5" hidden="1"/>
    <row r="21739" ht="13.5" hidden="1"/>
    <row r="21740" ht="13.5" hidden="1"/>
    <row r="21741" ht="13.5" hidden="1"/>
    <row r="21742" ht="13.5" hidden="1"/>
    <row r="21743" ht="13.5" hidden="1"/>
    <row r="21744" ht="13.5" hidden="1"/>
    <row r="21745" ht="13.5" hidden="1"/>
    <row r="21746" ht="13.5" hidden="1"/>
    <row r="21747" ht="13.5" hidden="1"/>
    <row r="21748" ht="13.5" hidden="1"/>
    <row r="21749" ht="13.5" hidden="1"/>
    <row r="21750" ht="13.5" hidden="1"/>
    <row r="21751" ht="13.5" hidden="1"/>
    <row r="21752" ht="13.5" hidden="1"/>
    <row r="21753" ht="13.5" hidden="1"/>
    <row r="21754" ht="13.5" hidden="1"/>
    <row r="21755" ht="13.5" hidden="1"/>
    <row r="21756" ht="13.5" hidden="1"/>
    <row r="21757" ht="13.5" hidden="1"/>
    <row r="21758" ht="13.5" hidden="1"/>
    <row r="21759" ht="13.5" hidden="1"/>
    <row r="21760" ht="13.5" hidden="1"/>
    <row r="21761" ht="13.5" hidden="1"/>
    <row r="21762" ht="13.5" hidden="1"/>
    <row r="21763" ht="13.5" hidden="1"/>
    <row r="21764" ht="13.5" hidden="1"/>
    <row r="21765" ht="13.5" hidden="1"/>
    <row r="21766" ht="13.5" hidden="1"/>
    <row r="21767" ht="13.5" hidden="1"/>
    <row r="21768" ht="13.5" hidden="1"/>
    <row r="21769" ht="13.5" hidden="1"/>
    <row r="21770" ht="13.5" hidden="1"/>
    <row r="21771" ht="13.5" hidden="1"/>
    <row r="21772" ht="13.5" hidden="1"/>
    <row r="21773" ht="13.5" hidden="1"/>
    <row r="21774" ht="13.5" hidden="1"/>
    <row r="21775" ht="13.5" hidden="1"/>
    <row r="21776" ht="13.5" hidden="1"/>
    <row r="21777" ht="13.5" hidden="1"/>
    <row r="21778" ht="13.5" hidden="1"/>
    <row r="21779" ht="13.5" hidden="1"/>
    <row r="21780" ht="13.5" hidden="1"/>
    <row r="21781" ht="13.5" hidden="1"/>
    <row r="21782" ht="13.5" hidden="1"/>
    <row r="21783" ht="13.5" hidden="1"/>
    <row r="21784" ht="13.5" hidden="1"/>
    <row r="21785" ht="13.5" hidden="1"/>
    <row r="21786" ht="13.5" hidden="1"/>
    <row r="21787" ht="13.5" hidden="1"/>
    <row r="21788" ht="13.5" hidden="1"/>
    <row r="21789" ht="13.5" hidden="1"/>
    <row r="21790" ht="13.5" hidden="1"/>
    <row r="21791" ht="13.5" hidden="1"/>
    <row r="21792" ht="13.5" hidden="1"/>
    <row r="21793" ht="13.5" hidden="1"/>
    <row r="21794" ht="13.5" hidden="1"/>
    <row r="21795" ht="13.5" hidden="1"/>
    <row r="21796" ht="13.5" hidden="1"/>
    <row r="21797" ht="13.5" hidden="1"/>
    <row r="21798" ht="13.5" hidden="1"/>
    <row r="21799" ht="13.5" hidden="1"/>
    <row r="21800" ht="13.5" hidden="1"/>
    <row r="21801" ht="13.5" hidden="1"/>
    <row r="21802" ht="13.5" hidden="1"/>
    <row r="21803" ht="13.5" hidden="1"/>
    <row r="21804" ht="13.5" hidden="1"/>
    <row r="21805" ht="13.5" hidden="1"/>
    <row r="21806" ht="13.5" hidden="1"/>
    <row r="21807" ht="13.5" hidden="1"/>
    <row r="21808" ht="13.5" hidden="1"/>
    <row r="21809" ht="13.5" hidden="1"/>
    <row r="21810" ht="13.5" hidden="1"/>
    <row r="21811" ht="13.5" hidden="1"/>
    <row r="21812" ht="13.5" hidden="1"/>
    <row r="21813" ht="13.5" hidden="1"/>
    <row r="21814" ht="13.5" hidden="1"/>
    <row r="21815" ht="13.5" hidden="1"/>
    <row r="21816" ht="13.5" hidden="1"/>
    <row r="21817" ht="13.5" hidden="1"/>
    <row r="21818" ht="13.5" hidden="1"/>
    <row r="21819" ht="13.5" hidden="1"/>
    <row r="21820" ht="13.5" hidden="1"/>
    <row r="21821" ht="13.5" hidden="1"/>
    <row r="21822" ht="13.5" hidden="1"/>
    <row r="21823" ht="13.5" hidden="1"/>
    <row r="21824" ht="13.5" hidden="1"/>
    <row r="21825" ht="13.5" hidden="1"/>
    <row r="21826" ht="13.5" hidden="1"/>
    <row r="21827" ht="13.5" hidden="1"/>
    <row r="21828" ht="13.5" hidden="1"/>
    <row r="21829" ht="13.5" hidden="1"/>
    <row r="21830" ht="13.5" hidden="1"/>
    <row r="21831" ht="13.5" hidden="1"/>
    <row r="21832" ht="13.5" hidden="1"/>
    <row r="21833" ht="13.5" hidden="1"/>
    <row r="21834" ht="13.5" hidden="1"/>
    <row r="21835" ht="13.5" hidden="1"/>
    <row r="21836" ht="13.5" hidden="1"/>
    <row r="21837" ht="13.5" hidden="1"/>
    <row r="21838" ht="13.5" hidden="1"/>
    <row r="21839" ht="13.5" hidden="1"/>
    <row r="21840" ht="13.5" hidden="1"/>
    <row r="21841" ht="13.5" hidden="1"/>
    <row r="21842" ht="13.5" hidden="1"/>
    <row r="21843" ht="13.5" hidden="1"/>
    <row r="21844" ht="13.5" hidden="1"/>
    <row r="21845" ht="13.5" hidden="1"/>
    <row r="21846" ht="13.5" hidden="1"/>
    <row r="21847" ht="13.5" hidden="1"/>
    <row r="21848" ht="13.5" hidden="1"/>
    <row r="21849" ht="13.5" hidden="1"/>
    <row r="21850" ht="13.5" hidden="1"/>
    <row r="21851" ht="13.5" hidden="1"/>
    <row r="21852" ht="13.5" hidden="1"/>
    <row r="21853" ht="13.5" hidden="1"/>
    <row r="21854" ht="13.5" hidden="1"/>
    <row r="21855" ht="13.5" hidden="1"/>
    <row r="21856" ht="13.5" hidden="1"/>
    <row r="21857" ht="13.5" hidden="1"/>
    <row r="21858" ht="13.5" hidden="1"/>
    <row r="21859" ht="13.5" hidden="1"/>
    <row r="21860" ht="13.5" hidden="1"/>
    <row r="21861" ht="13.5" hidden="1"/>
    <row r="21862" ht="13.5" hidden="1"/>
    <row r="21863" ht="13.5" hidden="1"/>
    <row r="21864" ht="13.5" hidden="1"/>
    <row r="21865" ht="13.5" hidden="1"/>
    <row r="21866" ht="13.5" hidden="1"/>
    <row r="21867" ht="13.5" hidden="1"/>
    <row r="21868" ht="13.5" hidden="1"/>
    <row r="21869" ht="13.5" hidden="1"/>
    <row r="21870" ht="13.5" hidden="1"/>
    <row r="21871" ht="13.5" hidden="1"/>
    <row r="21872" ht="13.5" hidden="1"/>
    <row r="21873" ht="13.5" hidden="1"/>
    <row r="21874" ht="13.5" hidden="1"/>
    <row r="21875" ht="13.5" hidden="1"/>
    <row r="21876" ht="13.5" hidden="1"/>
    <row r="21877" ht="13.5" hidden="1"/>
    <row r="21878" ht="13.5" hidden="1"/>
    <row r="21879" ht="13.5" hidden="1"/>
    <row r="21880" ht="13.5" hidden="1"/>
    <row r="21881" ht="13.5" hidden="1"/>
    <row r="21882" ht="13.5" hidden="1"/>
    <row r="21883" ht="13.5" hidden="1"/>
    <row r="21884" ht="13.5" hidden="1"/>
    <row r="21885" ht="13.5" hidden="1"/>
    <row r="21886" ht="13.5" hidden="1"/>
    <row r="21887" ht="13.5" hidden="1"/>
    <row r="21888" ht="13.5" hidden="1"/>
    <row r="21889" ht="13.5" hidden="1"/>
    <row r="21890" ht="13.5" hidden="1"/>
    <row r="21891" ht="13.5" hidden="1"/>
    <row r="21892" ht="13.5" hidden="1"/>
    <row r="21893" ht="13.5" hidden="1"/>
    <row r="21894" ht="13.5" hidden="1"/>
    <row r="21895" ht="13.5" hidden="1"/>
    <row r="21896" ht="13.5" hidden="1"/>
    <row r="21897" ht="13.5" hidden="1"/>
    <row r="21898" ht="13.5" hidden="1"/>
    <row r="21899" ht="13.5" hidden="1"/>
    <row r="21900" ht="13.5" hidden="1"/>
    <row r="21901" ht="13.5" hidden="1"/>
    <row r="21902" ht="13.5" hidden="1"/>
    <row r="21903" ht="13.5" hidden="1"/>
    <row r="21904" ht="13.5" hidden="1"/>
    <row r="21905" ht="13.5" hidden="1"/>
    <row r="21906" ht="13.5" hidden="1"/>
    <row r="21907" ht="13.5" hidden="1"/>
    <row r="21908" ht="13.5" hidden="1"/>
    <row r="21909" ht="13.5" hidden="1"/>
    <row r="21910" ht="13.5" hidden="1"/>
    <row r="21911" ht="13.5" hidden="1"/>
    <row r="21912" ht="13.5" hidden="1"/>
    <row r="21913" ht="13.5" hidden="1"/>
    <row r="21914" ht="13.5" hidden="1"/>
    <row r="21915" ht="13.5" hidden="1"/>
    <row r="21916" ht="13.5" hidden="1"/>
    <row r="21917" ht="13.5" hidden="1"/>
    <row r="21918" ht="13.5" hidden="1"/>
    <row r="21919" ht="13.5" hidden="1"/>
    <row r="21920" ht="13.5" hidden="1"/>
    <row r="21921" ht="13.5" hidden="1"/>
    <row r="21922" ht="13.5" hidden="1"/>
    <row r="21923" ht="13.5" hidden="1"/>
    <row r="21924" ht="13.5" hidden="1"/>
    <row r="21925" ht="13.5" hidden="1"/>
    <row r="21926" ht="13.5" hidden="1"/>
    <row r="21927" ht="13.5" hidden="1"/>
    <row r="21928" ht="13.5" hidden="1"/>
    <row r="21929" ht="13.5" hidden="1"/>
    <row r="21930" ht="13.5" hidden="1"/>
    <row r="21931" ht="13.5" hidden="1"/>
    <row r="21932" ht="13.5" hidden="1"/>
    <row r="21933" ht="13.5" hidden="1"/>
    <row r="21934" ht="13.5" hidden="1"/>
    <row r="21935" ht="13.5" hidden="1"/>
    <row r="21936" ht="13.5" hidden="1"/>
    <row r="21937" ht="13.5" hidden="1"/>
    <row r="21938" ht="13.5" hidden="1"/>
    <row r="21939" ht="13.5" hidden="1"/>
    <row r="21940" ht="13.5" hidden="1"/>
    <row r="21941" ht="13.5" hidden="1"/>
    <row r="21942" ht="13.5" hidden="1"/>
    <row r="21943" ht="13.5" hidden="1"/>
    <row r="21944" ht="13.5" hidden="1"/>
    <row r="21945" ht="13.5" hidden="1"/>
    <row r="21946" ht="13.5" hidden="1"/>
    <row r="21947" ht="13.5" hidden="1"/>
    <row r="21948" ht="13.5" hidden="1"/>
    <row r="21949" ht="13.5" hidden="1"/>
    <row r="21950" ht="13.5" hidden="1"/>
    <row r="21951" ht="13.5" hidden="1"/>
    <row r="21952" ht="13.5" hidden="1"/>
    <row r="21953" ht="13.5" hidden="1"/>
    <row r="21954" ht="13.5" hidden="1"/>
    <row r="21955" ht="13.5" hidden="1"/>
    <row r="21956" ht="13.5" hidden="1"/>
    <row r="21957" ht="13.5" hidden="1"/>
    <row r="21958" ht="13.5" hidden="1"/>
    <row r="21959" ht="13.5" hidden="1"/>
    <row r="21960" ht="13.5" hidden="1"/>
    <row r="21961" ht="13.5" hidden="1"/>
    <row r="21962" ht="13.5" hidden="1"/>
    <row r="21963" ht="13.5" hidden="1"/>
    <row r="21964" ht="13.5" hidden="1"/>
    <row r="21965" ht="13.5" hidden="1"/>
    <row r="21966" ht="13.5" hidden="1"/>
    <row r="21967" ht="13.5" hidden="1"/>
    <row r="21968" ht="13.5" hidden="1"/>
    <row r="21969" ht="13.5" hidden="1"/>
    <row r="21970" ht="13.5" hidden="1"/>
    <row r="21971" ht="13.5" hidden="1"/>
    <row r="21972" ht="13.5" hidden="1"/>
    <row r="21973" ht="13.5" hidden="1"/>
    <row r="21974" ht="13.5" hidden="1"/>
    <row r="21975" ht="13.5" hidden="1"/>
    <row r="21976" ht="13.5" hidden="1"/>
    <row r="21977" ht="13.5" hidden="1"/>
    <row r="21978" ht="13.5" hidden="1"/>
    <row r="21979" ht="13.5" hidden="1"/>
    <row r="21980" ht="13.5" hidden="1"/>
    <row r="21981" ht="13.5" hidden="1"/>
    <row r="21982" ht="13.5" hidden="1"/>
    <row r="21983" ht="13.5" hidden="1"/>
    <row r="21984" ht="13.5" hidden="1"/>
    <row r="21985" ht="13.5" hidden="1"/>
    <row r="21986" ht="13.5" hidden="1"/>
    <row r="21987" ht="13.5" hidden="1"/>
    <row r="21988" ht="13.5" hidden="1"/>
    <row r="21989" ht="13.5" hidden="1"/>
    <row r="21990" ht="13.5" hidden="1"/>
    <row r="21991" ht="13.5" hidden="1"/>
    <row r="21992" ht="13.5" hidden="1"/>
    <row r="21993" ht="13.5" hidden="1"/>
    <row r="21994" ht="13.5" hidden="1"/>
    <row r="21995" ht="13.5" hidden="1"/>
    <row r="21996" ht="13.5" hidden="1"/>
    <row r="21997" ht="13.5" hidden="1"/>
    <row r="21998" ht="13.5" hidden="1"/>
    <row r="21999" ht="13.5" hidden="1"/>
    <row r="22000" ht="13.5" hidden="1"/>
    <row r="22001" ht="13.5" hidden="1"/>
    <row r="22002" ht="13.5" hidden="1"/>
    <row r="22003" ht="13.5" hidden="1"/>
    <row r="22004" ht="13.5" hidden="1"/>
    <row r="22005" ht="13.5" hidden="1"/>
    <row r="22006" ht="13.5" hidden="1"/>
    <row r="22007" ht="13.5" hidden="1"/>
    <row r="22008" ht="13.5" hidden="1"/>
    <row r="22009" ht="13.5" hidden="1"/>
    <row r="22010" ht="13.5" hidden="1"/>
    <row r="22011" ht="13.5" hidden="1"/>
    <row r="22012" ht="13.5" hidden="1"/>
    <row r="22013" ht="13.5" hidden="1"/>
    <row r="22014" ht="13.5" hidden="1"/>
    <row r="22015" ht="13.5" hidden="1"/>
    <row r="22016" ht="13.5" hidden="1"/>
    <row r="22017" ht="13.5" hidden="1"/>
    <row r="22018" ht="13.5" hidden="1"/>
    <row r="22019" ht="13.5" hidden="1"/>
    <row r="22020" ht="13.5" hidden="1"/>
    <row r="22021" ht="13.5" hidden="1"/>
    <row r="22022" ht="13.5" hidden="1"/>
    <row r="22023" ht="13.5" hidden="1"/>
    <row r="22024" ht="13.5" hidden="1"/>
    <row r="22025" ht="13.5" hidden="1"/>
    <row r="22026" ht="13.5" hidden="1"/>
    <row r="22027" ht="13.5" hidden="1"/>
    <row r="22028" ht="13.5" hidden="1"/>
    <row r="22029" ht="13.5" hidden="1"/>
    <row r="22030" ht="13.5" hidden="1"/>
    <row r="22031" ht="13.5" hidden="1"/>
    <row r="22032" ht="13.5" hidden="1"/>
    <row r="22033" ht="13.5" hidden="1"/>
    <row r="22034" ht="13.5" hidden="1"/>
    <row r="22035" ht="13.5" hidden="1"/>
    <row r="22036" ht="13.5" hidden="1"/>
    <row r="22037" ht="13.5" hidden="1"/>
    <row r="22038" ht="13.5" hidden="1"/>
    <row r="22039" ht="13.5" hidden="1"/>
    <row r="22040" ht="13.5" hidden="1"/>
    <row r="22041" ht="13.5" hidden="1"/>
    <row r="22042" ht="13.5" hidden="1"/>
    <row r="22043" ht="13.5" hidden="1"/>
    <row r="22044" ht="13.5" hidden="1"/>
    <row r="22045" ht="13.5" hidden="1"/>
    <row r="22046" ht="13.5" hidden="1"/>
    <row r="22047" ht="13.5" hidden="1"/>
    <row r="22048" ht="13.5" hidden="1"/>
    <row r="22049" ht="13.5" hidden="1"/>
    <row r="22050" ht="13.5" hidden="1"/>
    <row r="22051" ht="13.5" hidden="1"/>
    <row r="22052" ht="13.5" hidden="1"/>
    <row r="22053" ht="13.5" hidden="1"/>
    <row r="22054" ht="13.5" hidden="1"/>
    <row r="22055" ht="13.5" hidden="1"/>
    <row r="22056" ht="13.5" hidden="1"/>
    <row r="22057" ht="13.5" hidden="1"/>
    <row r="22058" ht="13.5" hidden="1"/>
    <row r="22059" ht="13.5" hidden="1"/>
    <row r="22060" ht="13.5" hidden="1"/>
    <row r="22061" ht="13.5" hidden="1"/>
    <row r="22062" ht="13.5" hidden="1"/>
    <row r="22063" ht="13.5" hidden="1"/>
    <row r="22064" ht="13.5" hidden="1"/>
    <row r="22065" ht="13.5" hidden="1"/>
    <row r="22066" ht="13.5" hidden="1"/>
    <row r="22067" ht="13.5" hidden="1"/>
    <row r="22068" ht="13.5" hidden="1"/>
    <row r="22069" ht="13.5" hidden="1"/>
    <row r="22070" ht="13.5" hidden="1"/>
    <row r="22071" ht="13.5" hidden="1"/>
    <row r="22072" ht="13.5" hidden="1"/>
    <row r="22073" ht="13.5" hidden="1"/>
    <row r="22074" ht="13.5" hidden="1"/>
    <row r="22075" ht="13.5" hidden="1"/>
    <row r="22076" ht="13.5" hidden="1"/>
    <row r="22077" ht="13.5" hidden="1"/>
    <row r="22078" ht="13.5" hidden="1"/>
    <row r="22079" ht="13.5" hidden="1"/>
    <row r="22080" ht="13.5" hidden="1"/>
    <row r="22081" ht="13.5" hidden="1"/>
    <row r="22082" ht="13.5" hidden="1"/>
    <row r="22083" ht="13.5" hidden="1"/>
    <row r="22084" ht="13.5" hidden="1"/>
    <row r="22085" ht="13.5" hidden="1"/>
    <row r="22086" ht="13.5" hidden="1"/>
    <row r="22087" ht="13.5" hidden="1"/>
    <row r="22088" ht="13.5" hidden="1"/>
    <row r="22089" ht="13.5" hidden="1"/>
    <row r="22090" ht="13.5" hidden="1"/>
    <row r="22091" ht="13.5" hidden="1"/>
    <row r="22092" ht="13.5" hidden="1"/>
    <row r="22093" ht="13.5" hidden="1"/>
    <row r="22094" ht="13.5" hidden="1"/>
    <row r="22095" ht="13.5" hidden="1"/>
    <row r="22096" ht="13.5" hidden="1"/>
    <row r="22097" ht="13.5" hidden="1"/>
    <row r="22098" ht="13.5" hidden="1"/>
    <row r="22099" ht="13.5" hidden="1"/>
    <row r="22100" ht="13.5" hidden="1"/>
    <row r="22101" ht="13.5" hidden="1"/>
    <row r="22102" ht="13.5" hidden="1"/>
    <row r="22103" ht="13.5" hidden="1"/>
    <row r="22104" ht="13.5" hidden="1"/>
    <row r="22105" ht="13.5" hidden="1"/>
    <row r="22106" ht="13.5" hidden="1"/>
    <row r="22107" ht="13.5" hidden="1"/>
    <row r="22108" ht="13.5" hidden="1"/>
    <row r="22109" ht="13.5" hidden="1"/>
    <row r="22110" ht="13.5" hidden="1"/>
    <row r="22111" ht="13.5" hidden="1"/>
    <row r="22112" ht="13.5" hidden="1"/>
    <row r="22113" ht="13.5" hidden="1"/>
    <row r="22114" ht="13.5" hidden="1"/>
    <row r="22115" ht="13.5" hidden="1"/>
    <row r="22116" ht="13.5" hidden="1"/>
    <row r="22117" ht="13.5" hidden="1"/>
    <row r="22118" ht="13.5" hidden="1"/>
    <row r="22119" ht="13.5" hidden="1"/>
    <row r="22120" ht="13.5" hidden="1"/>
    <row r="22121" ht="13.5" hidden="1"/>
    <row r="22122" ht="13.5" hidden="1"/>
    <row r="22123" ht="13.5" hidden="1"/>
    <row r="22124" ht="13.5" hidden="1"/>
    <row r="22125" ht="13.5" hidden="1"/>
    <row r="22126" ht="13.5" hidden="1"/>
    <row r="22127" ht="13.5" hidden="1"/>
    <row r="22128" ht="13.5" hidden="1"/>
    <row r="22129" ht="13.5" hidden="1"/>
    <row r="22130" ht="13.5" hidden="1"/>
    <row r="22131" ht="13.5" hidden="1"/>
    <row r="22132" ht="13.5" hidden="1"/>
    <row r="22133" ht="13.5" hidden="1"/>
    <row r="22134" ht="13.5" hidden="1"/>
    <row r="22135" ht="13.5" hidden="1"/>
    <row r="22136" ht="13.5" hidden="1"/>
    <row r="22137" ht="13.5" hidden="1"/>
    <row r="22138" ht="13.5" hidden="1"/>
    <row r="22139" ht="13.5" hidden="1"/>
    <row r="22140" ht="13.5" hidden="1"/>
    <row r="22141" ht="13.5" hidden="1"/>
    <row r="22142" ht="13.5" hidden="1"/>
    <row r="22143" ht="13.5" hidden="1"/>
    <row r="22144" ht="13.5" hidden="1"/>
    <row r="22145" ht="13.5" hidden="1"/>
    <row r="22146" ht="13.5" hidden="1"/>
    <row r="22147" ht="13.5" hidden="1"/>
    <row r="22148" ht="13.5" hidden="1"/>
    <row r="22149" ht="13.5" hidden="1"/>
    <row r="22150" ht="13.5" hidden="1"/>
    <row r="22151" ht="13.5" hidden="1"/>
    <row r="22152" ht="13.5" hidden="1"/>
    <row r="22153" ht="13.5" hidden="1"/>
    <row r="22154" ht="13.5" hidden="1"/>
    <row r="22155" ht="13.5" hidden="1"/>
    <row r="22156" ht="13.5" hidden="1"/>
    <row r="22157" ht="13.5" hidden="1"/>
    <row r="22158" ht="13.5" hidden="1"/>
    <row r="22159" ht="13.5" hidden="1"/>
    <row r="22160" ht="13.5" hidden="1"/>
    <row r="22161" ht="13.5" hidden="1"/>
    <row r="22162" ht="13.5" hidden="1"/>
    <row r="22163" ht="13.5" hidden="1"/>
    <row r="22164" ht="13.5" hidden="1"/>
    <row r="22165" ht="13.5" hidden="1"/>
    <row r="22166" ht="13.5" hidden="1"/>
    <row r="22167" ht="13.5" hidden="1"/>
    <row r="22168" ht="13.5" hidden="1"/>
    <row r="22169" ht="13.5" hidden="1"/>
    <row r="22170" ht="13.5" hidden="1"/>
    <row r="22171" ht="13.5" hidden="1"/>
    <row r="22172" ht="13.5" hidden="1"/>
    <row r="22173" ht="13.5" hidden="1"/>
    <row r="22174" ht="13.5" hidden="1"/>
    <row r="22175" ht="13.5" hidden="1"/>
    <row r="22176" ht="13.5" hidden="1"/>
    <row r="22177" ht="13.5" hidden="1"/>
    <row r="22178" ht="13.5" hidden="1"/>
    <row r="22179" ht="13.5" hidden="1"/>
  </sheetData>
  <conditionalFormatting sqref="I234:I237">
    <cfRule type="cellIs" dxfId="25" priority="47" operator="equal">
      <formula>FALSE()</formula>
    </cfRule>
  </conditionalFormatting>
  <conditionalFormatting sqref="I363">
    <cfRule type="cellIs" dxfId="24" priority="26" operator="equal">
      <formula>FALSE()</formula>
    </cfRule>
  </conditionalFormatting>
  <conditionalFormatting sqref="K211:AQ217 AW211:AW217">
    <cfRule type="cellIs" dxfId="23" priority="46" operator="equal">
      <formula>FALSE()</formula>
    </cfRule>
  </conditionalFormatting>
  <conditionalFormatting sqref="K8:AW210">
    <cfRule type="cellIs" dxfId="22" priority="40" operator="equal">
      <formula>FALSE()</formula>
    </cfRule>
  </conditionalFormatting>
  <conditionalFormatting sqref="K218:AW419">
    <cfRule type="cellIs" dxfId="21" priority="1" operator="equal">
      <formula>FALSE()</formula>
    </cfRule>
  </conditionalFormatting>
  <conditionalFormatting sqref="K423:AW423">
    <cfRule type="cellIs" dxfId="20" priority="49" operator="equal">
      <formula>FALSE()</formula>
    </cfRule>
  </conditionalFormatting>
  <conditionalFormatting sqref="AQ351:AQ352">
    <cfRule type="cellIs" dxfId="19" priority="29" operator="equal">
      <formula>FALSE()</formula>
    </cfRule>
  </conditionalFormatting>
  <conditionalFormatting sqref="AQ354:AQ357">
    <cfRule type="cellIs" dxfId="18" priority="28" operator="equal">
      <formula>FALSE()</formula>
    </cfRule>
  </conditionalFormatting>
  <conditionalFormatting sqref="AQ362">
    <cfRule type="cellIs" dxfId="17" priority="27" operator="equal">
      <formula>FALSE()</formula>
    </cfRule>
  </conditionalFormatting>
  <conditionalFormatting sqref="AQ367:AQ369">
    <cfRule type="cellIs" dxfId="16" priority="25" operator="equal">
      <formula>FALSE()</formula>
    </cfRule>
  </conditionalFormatting>
  <conditionalFormatting sqref="AQ371:AQ373">
    <cfRule type="cellIs" dxfId="15" priority="24" operator="equal">
      <formula>FALSE()</formula>
    </cfRule>
  </conditionalFormatting>
  <conditionalFormatting sqref="AQ377:AQ380">
    <cfRule type="cellIs" dxfId="14" priority="22" operator="equal">
      <formula>FALSE()</formula>
    </cfRule>
  </conditionalFormatting>
  <conditionalFormatting sqref="AQ384:AQ385">
    <cfRule type="cellIs" dxfId="13" priority="21" operator="equal">
      <formula>FALSE()</formula>
    </cfRule>
  </conditionalFormatting>
  <conditionalFormatting sqref="AQ387:AQ388">
    <cfRule type="cellIs" dxfId="12" priority="20" operator="equal">
      <formula>FALSE()</formula>
    </cfRule>
  </conditionalFormatting>
  <conditionalFormatting sqref="AQ390:AQ391">
    <cfRule type="cellIs" dxfId="11" priority="19" operator="equal">
      <formula>FALSE()</formula>
    </cfRule>
  </conditionalFormatting>
  <conditionalFormatting sqref="AQ393:AQ394">
    <cfRule type="cellIs" dxfId="10" priority="18" operator="equal">
      <formula>FALSE()</formula>
    </cfRule>
  </conditionalFormatting>
  <conditionalFormatting sqref="AQ396:AQ397">
    <cfRule type="cellIs" dxfId="9" priority="17" operator="equal">
      <formula>FALSE()</formula>
    </cfRule>
  </conditionalFormatting>
  <conditionalFormatting sqref="AQ399:AQ400">
    <cfRule type="cellIs" dxfId="8" priority="16" operator="equal">
      <formula>FALSE()</formula>
    </cfRule>
  </conditionalFormatting>
  <conditionalFormatting sqref="AQ402:AQ403">
    <cfRule type="cellIs" dxfId="7" priority="15" operator="equal">
      <formula>FALSE()</formula>
    </cfRule>
  </conditionalFormatting>
  <conditionalFormatting sqref="AQ405:AQ406">
    <cfRule type="cellIs" dxfId="6" priority="14" operator="equal">
      <formula>FALSE()</formula>
    </cfRule>
  </conditionalFormatting>
  <conditionalFormatting sqref="AQ408:AQ409">
    <cfRule type="cellIs" dxfId="5" priority="13" operator="equal">
      <formula>FALSE()</formula>
    </cfRule>
  </conditionalFormatting>
  <conditionalFormatting sqref="AQ411">
    <cfRule type="cellIs" dxfId="4" priority="12" operator="equal">
      <formula>FALSE()</formula>
    </cfRule>
  </conditionalFormatting>
  <conditionalFormatting sqref="AQ413:AQ414">
    <cfRule type="cellIs" dxfId="3" priority="11" operator="equal">
      <formula>FALSE()</formula>
    </cfRule>
  </conditionalFormatting>
  <conditionalFormatting sqref="AQ416:AQ418">
    <cfRule type="cellIs" dxfId="2" priority="10" operator="equal">
      <formula>FALSE()</formula>
    </cfRule>
  </conditionalFormatting>
  <conditionalFormatting sqref="AR211:AV211">
    <cfRule type="cellIs" dxfId="1" priority="3" operator="equal">
      <formula>FALSE()</formula>
    </cfRule>
  </conditionalFormatting>
  <conditionalFormatting sqref="AR213:AV217">
    <cfRule type="cellIs" dxfId="0" priority="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146050</xdr:colOff>
                    <xdr:row>0</xdr:row>
                    <xdr:rowOff>31750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3.5" zeroHeight="1"/>
  <cols>
    <col min="1" max="4" width="1.4609375" customWidth="1"/>
    <col min="5" max="5" width="26.4609375" customWidth="1"/>
    <col min="6" max="21" width="9.3828125" customWidth="1"/>
    <col min="22" max="23" width="9.61328125" customWidth="1"/>
    <col min="24" max="46" width="9.61328125" hidden="1" customWidth="1"/>
    <col min="47" max="47" width="3" hidden="1" customWidth="1"/>
    <col min="48" max="16384" width="9" hidden="1"/>
  </cols>
  <sheetData>
    <row r="1" spans="1:23" ht="18.5">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
      <c r="A5" s="2"/>
      <c r="B5" s="2"/>
      <c r="C5" s="141"/>
      <c r="D5" s="2" t="s">
        <v>76</v>
      </c>
      <c r="E5" s="2"/>
      <c r="F5" s="529"/>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6.5" thickBot="1">
      <c r="A7" s="2"/>
      <c r="B7" s="2"/>
      <c r="C7" s="2"/>
      <c r="D7" s="34" t="s">
        <v>77</v>
      </c>
      <c r="E7" s="82"/>
      <c r="F7" s="523">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6">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
      <c r="A11" s="82"/>
      <c r="B11" s="82"/>
      <c r="C11" s="82"/>
      <c r="D11" s="82"/>
      <c r="E11" s="82"/>
      <c r="F11" s="82"/>
      <c r="G11" s="82"/>
      <c r="H11" s="82"/>
      <c r="I11" s="82"/>
      <c r="J11" s="82"/>
      <c r="K11" s="82"/>
      <c r="L11" s="82"/>
      <c r="M11" s="82"/>
      <c r="N11" s="82"/>
      <c r="O11" s="82"/>
      <c r="P11" s="82"/>
      <c r="Q11" s="82"/>
      <c r="R11" s="82"/>
      <c r="S11" s="82"/>
      <c r="T11" s="82"/>
      <c r="U11" s="82"/>
      <c r="V11" s="82"/>
      <c r="W11" s="82"/>
    </row>
    <row r="12" spans="1:23" ht="16">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6">
      <c r="A13" s="82"/>
      <c r="B13" s="82"/>
      <c r="C13" s="82"/>
      <c r="D13" s="82"/>
      <c r="E13" s="82"/>
      <c r="F13" s="82"/>
      <c r="H13" s="82"/>
      <c r="I13" s="82"/>
      <c r="J13" s="82"/>
      <c r="K13" s="82"/>
      <c r="L13" s="82"/>
      <c r="M13" s="82"/>
      <c r="N13" s="82"/>
      <c r="O13" s="82"/>
      <c r="P13" s="82"/>
      <c r="Q13" s="82"/>
      <c r="R13" s="82"/>
      <c r="S13" s="82"/>
      <c r="T13" s="82"/>
      <c r="U13" s="82"/>
      <c r="V13" s="82"/>
      <c r="W13" s="82"/>
    </row>
    <row r="14" spans="1:23" ht="16">
      <c r="A14" s="82"/>
      <c r="B14" s="82"/>
      <c r="C14" s="82"/>
      <c r="D14" s="82"/>
      <c r="E14" s="182" t="s">
        <v>80</v>
      </c>
      <c r="H14" s="82"/>
      <c r="I14" s="82"/>
      <c r="J14" s="82"/>
      <c r="K14" s="82"/>
      <c r="L14" s="82"/>
      <c r="M14" s="82"/>
      <c r="N14" s="82"/>
      <c r="O14" s="82"/>
      <c r="P14" s="82"/>
      <c r="Q14" s="82"/>
      <c r="R14" s="82"/>
      <c r="S14" s="82"/>
      <c r="T14" s="82"/>
      <c r="U14" s="82"/>
      <c r="V14" s="82"/>
      <c r="W14" s="82"/>
    </row>
    <row r="15" spans="1:23" ht="16">
      <c r="A15" s="82"/>
      <c r="B15" s="82"/>
      <c r="C15" s="82"/>
      <c r="D15" s="82"/>
      <c r="E15" s="381" t="s">
        <v>24</v>
      </c>
      <c r="H15" s="82"/>
      <c r="I15" s="82"/>
      <c r="J15" s="82"/>
      <c r="K15" s="82"/>
      <c r="L15" s="82"/>
      <c r="M15" s="82"/>
      <c r="N15" s="82"/>
      <c r="O15" s="82"/>
      <c r="P15" s="82"/>
      <c r="Q15" s="82"/>
      <c r="R15" s="82"/>
      <c r="S15" s="82"/>
      <c r="T15" s="82"/>
      <c r="U15" s="82"/>
      <c r="V15" s="82"/>
      <c r="W15" s="82"/>
    </row>
    <row r="16" spans="1:23" ht="16">
      <c r="A16" s="82"/>
      <c r="B16" s="82"/>
      <c r="C16" s="82"/>
      <c r="D16" s="82"/>
      <c r="E16" s="199" t="s">
        <v>27</v>
      </c>
      <c r="H16" s="82"/>
      <c r="I16" s="82"/>
      <c r="J16" s="82"/>
      <c r="K16" s="82"/>
      <c r="L16" s="82"/>
      <c r="M16" s="82"/>
      <c r="N16" s="82"/>
      <c r="O16" s="82"/>
      <c r="P16" s="82"/>
      <c r="Q16" s="82"/>
      <c r="R16" s="82"/>
      <c r="S16" s="82"/>
      <c r="T16" s="82"/>
      <c r="U16" s="82"/>
      <c r="V16" s="82"/>
      <c r="W16" s="82"/>
    </row>
    <row r="17" spans="1:23" ht="16">
      <c r="A17" s="82"/>
      <c r="B17" s="82"/>
      <c r="C17" s="82"/>
      <c r="D17" s="82"/>
      <c r="E17" s="199" t="s">
        <v>30</v>
      </c>
      <c r="H17" s="82"/>
      <c r="I17" s="82"/>
      <c r="J17" s="82"/>
      <c r="K17" s="82"/>
      <c r="L17" s="82"/>
      <c r="M17" s="82"/>
      <c r="N17" s="82"/>
      <c r="O17" s="82"/>
      <c r="P17" s="82"/>
      <c r="Q17" s="82"/>
      <c r="R17" s="82"/>
      <c r="S17" s="82"/>
      <c r="T17" s="82"/>
      <c r="U17" s="82"/>
      <c r="V17" s="82"/>
      <c r="W17" s="82"/>
    </row>
    <row r="18" spans="1:23" ht="16">
      <c r="A18" s="82"/>
      <c r="B18" s="82"/>
      <c r="C18" s="82"/>
      <c r="D18" s="82"/>
      <c r="E18" s="199" t="s">
        <v>31</v>
      </c>
      <c r="H18" s="82"/>
      <c r="I18" s="82"/>
      <c r="J18" s="82"/>
      <c r="K18" s="82"/>
      <c r="L18" s="82"/>
      <c r="M18" s="82"/>
      <c r="N18" s="82"/>
      <c r="O18" s="82"/>
      <c r="P18" s="82"/>
      <c r="Q18" s="82"/>
      <c r="R18" s="82"/>
      <c r="S18" s="82"/>
      <c r="T18" s="82"/>
      <c r="U18" s="82"/>
      <c r="V18" s="82"/>
      <c r="W18" s="82"/>
    </row>
    <row r="19" spans="1:23" ht="16">
      <c r="A19" s="82"/>
      <c r="B19" s="82"/>
      <c r="C19" s="82"/>
      <c r="D19" s="82"/>
      <c r="E19" s="199" t="s">
        <v>33</v>
      </c>
      <c r="H19" s="82"/>
      <c r="I19" s="82"/>
      <c r="J19" s="82"/>
      <c r="K19" s="82"/>
      <c r="L19" s="82"/>
      <c r="M19" s="82"/>
      <c r="N19" s="82"/>
      <c r="O19" s="82"/>
      <c r="P19" s="82"/>
      <c r="Q19" s="82"/>
      <c r="R19" s="82"/>
      <c r="S19" s="82"/>
      <c r="T19" s="82"/>
      <c r="U19" s="82"/>
      <c r="V19" s="82"/>
      <c r="W19" s="82"/>
    </row>
    <row r="20" spans="1:23" ht="16">
      <c r="A20" s="82"/>
      <c r="B20" s="82"/>
      <c r="C20" s="82"/>
      <c r="D20" s="82"/>
      <c r="E20" s="199" t="s">
        <v>35</v>
      </c>
      <c r="H20" s="82"/>
      <c r="I20" s="82"/>
      <c r="J20" s="82"/>
      <c r="K20" s="82"/>
      <c r="L20" s="82"/>
      <c r="M20" s="82"/>
      <c r="N20" s="82"/>
      <c r="O20" s="82"/>
      <c r="P20" s="82"/>
      <c r="Q20" s="82"/>
      <c r="R20" s="82"/>
      <c r="S20" s="82"/>
      <c r="T20" s="82"/>
      <c r="U20" s="82"/>
      <c r="V20" s="82"/>
      <c r="W20" s="82"/>
    </row>
    <row r="21" spans="1:23" ht="16">
      <c r="A21" s="82"/>
      <c r="B21" s="82"/>
      <c r="C21" s="82"/>
      <c r="D21" s="82"/>
      <c r="E21" s="199" t="s">
        <v>38</v>
      </c>
      <c r="H21" s="82"/>
      <c r="I21" s="82"/>
      <c r="J21" s="82"/>
      <c r="K21" s="82"/>
      <c r="L21" s="82"/>
      <c r="M21" s="82"/>
      <c r="N21" s="82"/>
      <c r="O21" s="82"/>
      <c r="P21" s="82"/>
      <c r="Q21" s="82"/>
      <c r="R21" s="82"/>
      <c r="S21" s="82"/>
      <c r="T21" s="82"/>
      <c r="U21" s="82"/>
      <c r="V21" s="82"/>
      <c r="W21" s="82"/>
    </row>
    <row r="22" spans="1:23" ht="16">
      <c r="A22" s="82"/>
      <c r="B22" s="82"/>
      <c r="C22" s="82"/>
      <c r="D22" s="82"/>
      <c r="E22" s="199" t="s">
        <v>41</v>
      </c>
      <c r="H22" s="82"/>
      <c r="I22" s="82"/>
      <c r="J22" s="82"/>
      <c r="K22" s="82"/>
      <c r="L22" s="82"/>
      <c r="M22" s="82"/>
      <c r="N22" s="82"/>
      <c r="O22" s="82"/>
      <c r="P22" s="82"/>
      <c r="Q22" s="82"/>
      <c r="R22" s="82"/>
      <c r="S22" s="82"/>
      <c r="T22" s="82"/>
      <c r="U22" s="82"/>
      <c r="V22" s="82"/>
      <c r="W22" s="82"/>
    </row>
    <row r="23" spans="1:23" ht="16">
      <c r="A23" s="82"/>
      <c r="B23" s="82"/>
      <c r="C23" s="82"/>
      <c r="D23" s="82"/>
      <c r="E23" s="199" t="s">
        <v>42</v>
      </c>
      <c r="H23" s="82"/>
      <c r="I23" s="82"/>
      <c r="J23" s="82"/>
      <c r="K23" s="82"/>
      <c r="L23" s="82"/>
      <c r="M23" s="82"/>
      <c r="N23" s="82"/>
      <c r="O23" s="82"/>
      <c r="P23" s="82"/>
      <c r="Q23" s="82"/>
      <c r="R23" s="82"/>
      <c r="S23" s="82"/>
      <c r="T23" s="82"/>
      <c r="U23" s="82"/>
      <c r="V23" s="82"/>
      <c r="W23" s="82"/>
    </row>
    <row r="24" spans="1:23" ht="16">
      <c r="A24" s="82"/>
      <c r="B24" s="82"/>
      <c r="C24" s="82"/>
      <c r="D24" s="82"/>
      <c r="E24" s="199" t="s">
        <v>44</v>
      </c>
      <c r="H24" s="82"/>
      <c r="I24" s="82"/>
      <c r="J24" s="82"/>
      <c r="K24" s="82"/>
      <c r="L24" s="82"/>
      <c r="M24" s="82"/>
      <c r="N24" s="82"/>
      <c r="O24" s="82"/>
      <c r="P24" s="82"/>
      <c r="Q24" s="82"/>
      <c r="R24" s="82"/>
      <c r="S24" s="82"/>
      <c r="T24" s="82"/>
      <c r="U24" s="82"/>
      <c r="V24" s="82"/>
      <c r="W24" s="82"/>
    </row>
    <row r="25" spans="1:23" ht="16">
      <c r="A25" s="82"/>
      <c r="B25" s="82"/>
      <c r="C25" s="82"/>
      <c r="D25" s="82"/>
      <c r="E25" s="199" t="s">
        <v>47</v>
      </c>
      <c r="H25" s="82"/>
      <c r="I25" s="82"/>
      <c r="J25" s="82"/>
      <c r="K25" s="82"/>
      <c r="L25" s="82"/>
      <c r="M25" s="82"/>
      <c r="N25" s="82"/>
      <c r="O25" s="82"/>
      <c r="P25" s="82"/>
      <c r="Q25" s="82"/>
      <c r="R25" s="82"/>
      <c r="S25" s="82"/>
      <c r="T25" s="82"/>
      <c r="U25" s="82"/>
      <c r="V25" s="82"/>
      <c r="W25" s="82"/>
    </row>
    <row r="26" spans="1:23" ht="16">
      <c r="A26" s="82"/>
      <c r="B26" s="82"/>
      <c r="C26" s="82"/>
      <c r="D26" s="82"/>
      <c r="E26" s="199" t="s">
        <v>50</v>
      </c>
      <c r="H26" s="82"/>
      <c r="I26" s="82"/>
      <c r="J26" s="82"/>
      <c r="K26" s="82"/>
      <c r="L26" s="82"/>
      <c r="M26" s="82"/>
      <c r="N26" s="82"/>
      <c r="O26" s="82"/>
      <c r="P26" s="82"/>
      <c r="Q26" s="82"/>
      <c r="R26" s="82"/>
      <c r="S26" s="82"/>
      <c r="T26" s="82"/>
      <c r="U26" s="82"/>
      <c r="V26" s="82"/>
      <c r="W26" s="82"/>
    </row>
    <row r="27" spans="1:23" ht="16">
      <c r="A27" s="82"/>
      <c r="B27" s="82"/>
      <c r="C27" s="82"/>
      <c r="D27" s="82"/>
      <c r="E27" s="199" t="s">
        <v>53</v>
      </c>
      <c r="H27" s="82"/>
      <c r="I27" s="82"/>
      <c r="J27" s="82"/>
      <c r="K27" s="82"/>
      <c r="L27" s="82"/>
      <c r="M27" s="82"/>
      <c r="N27" s="82"/>
      <c r="O27" s="82"/>
      <c r="P27" s="82"/>
      <c r="Q27" s="82"/>
      <c r="R27" s="82"/>
      <c r="S27" s="82"/>
      <c r="T27" s="82"/>
      <c r="U27" s="82"/>
      <c r="V27" s="82"/>
      <c r="W27" s="82"/>
    </row>
    <row r="28" spans="1:23" ht="16">
      <c r="A28" s="82"/>
      <c r="B28" s="82"/>
      <c r="C28" s="82"/>
      <c r="D28" s="82"/>
      <c r="E28" s="198" t="s">
        <v>56</v>
      </c>
      <c r="H28" s="82"/>
      <c r="I28" s="82"/>
      <c r="J28" s="82"/>
      <c r="K28" s="82"/>
      <c r="L28" s="82"/>
      <c r="M28" s="82"/>
      <c r="N28" s="82"/>
      <c r="O28" s="82"/>
      <c r="P28" s="82"/>
      <c r="Q28" s="82"/>
      <c r="R28" s="82"/>
      <c r="S28" s="82"/>
      <c r="T28" s="82"/>
      <c r="U28" s="82"/>
      <c r="V28" s="82"/>
      <c r="W28" s="82"/>
    </row>
    <row r="29" spans="1:23" ht="16">
      <c r="A29" s="82"/>
      <c r="B29" s="82"/>
      <c r="C29" s="82"/>
      <c r="D29" s="82"/>
      <c r="E29" s="200">
        <v>11</v>
      </c>
      <c r="F29" s="76" t="s">
        <v>81</v>
      </c>
      <c r="G29" s="82"/>
      <c r="H29" s="82"/>
      <c r="I29" s="82"/>
      <c r="J29" s="82"/>
      <c r="K29" s="82"/>
      <c r="L29" s="82"/>
      <c r="M29" s="82"/>
      <c r="N29" s="82"/>
      <c r="O29" s="82"/>
      <c r="P29" s="82"/>
      <c r="Q29" s="82"/>
      <c r="R29" s="82"/>
      <c r="S29" s="82"/>
      <c r="T29" s="82"/>
      <c r="U29" s="82"/>
      <c r="V29" s="82"/>
      <c r="W29" s="82"/>
    </row>
    <row r="30" spans="1:23" ht="16">
      <c r="A30" s="82"/>
      <c r="B30" s="82"/>
      <c r="C30" s="82"/>
      <c r="D30" s="82"/>
      <c r="E30" s="200" t="str" cm="1">
        <f t="array" ref="E30">INDEX(E15:E28,m_identity)</f>
        <v>SPD</v>
      </c>
      <c r="F30" s="76" t="s">
        <v>82</v>
      </c>
      <c r="G30" s="82"/>
      <c r="H30" s="82"/>
      <c r="I30" s="82"/>
      <c r="J30" s="82"/>
      <c r="K30" s="82"/>
      <c r="L30" s="82"/>
      <c r="M30" s="82"/>
      <c r="N30" s="82"/>
      <c r="O30" s="82"/>
      <c r="P30" s="82"/>
      <c r="Q30" s="82"/>
      <c r="R30" s="82"/>
      <c r="S30" s="82"/>
      <c r="T30" s="82"/>
      <c r="U30" s="82"/>
      <c r="V30" s="82"/>
      <c r="W30" s="82"/>
    </row>
    <row r="31" spans="1:23" ht="16">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6">
      <c r="A32" s="82"/>
      <c r="B32" s="82"/>
      <c r="C32" s="82"/>
      <c r="D32" s="82"/>
      <c r="E32" s="82"/>
      <c r="F32" s="82"/>
      <c r="G32" s="82"/>
      <c r="H32" s="82"/>
      <c r="I32" s="82"/>
      <c r="J32" s="82"/>
      <c r="K32" s="82"/>
      <c r="L32" s="82"/>
      <c r="M32" s="82"/>
      <c r="N32" s="82"/>
      <c r="O32" s="82"/>
      <c r="P32" s="82"/>
      <c r="Q32" s="82"/>
      <c r="R32" s="82"/>
      <c r="S32" s="82"/>
      <c r="T32" s="82"/>
      <c r="U32" s="82"/>
      <c r="V32" s="82"/>
      <c r="W32" s="82"/>
    </row>
    <row r="33" spans="1:23" ht="16">
      <c r="A33" s="82"/>
      <c r="B33" s="82"/>
      <c r="C33" s="82"/>
      <c r="D33" s="82"/>
      <c r="E33" s="82"/>
      <c r="F33" s="82"/>
      <c r="G33" s="82"/>
      <c r="H33" s="82"/>
      <c r="I33" s="82"/>
      <c r="J33" s="82"/>
      <c r="K33" s="82"/>
      <c r="L33" s="82"/>
      <c r="M33" s="82"/>
      <c r="N33" s="82"/>
      <c r="O33" s="82"/>
      <c r="P33" s="82"/>
      <c r="Q33" s="82"/>
      <c r="R33" s="82"/>
      <c r="S33" s="82"/>
      <c r="T33" s="82"/>
      <c r="U33" s="82"/>
      <c r="V33" s="82"/>
      <c r="W33" s="82"/>
    </row>
    <row r="34" spans="1:23" ht="16">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6">
      <c r="A35" s="82"/>
      <c r="B35" s="82"/>
      <c r="C35" s="82"/>
      <c r="D35" s="82"/>
      <c r="E35" s="82"/>
      <c r="F35" s="82"/>
      <c r="G35" s="82"/>
      <c r="H35" s="82"/>
      <c r="I35" s="82"/>
      <c r="J35" s="82"/>
      <c r="K35" s="82"/>
      <c r="L35" s="82"/>
      <c r="M35" s="82"/>
      <c r="N35" s="82"/>
      <c r="O35" s="82"/>
      <c r="P35" s="82"/>
      <c r="Q35" s="82"/>
      <c r="R35" s="82"/>
      <c r="S35" s="82"/>
      <c r="T35" s="82"/>
      <c r="U35" s="82"/>
      <c r="V35" s="82"/>
      <c r="W35" s="82"/>
    </row>
    <row r="36" spans="1:23" ht="16">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250" activePane="bottomRight" state="frozen"/>
      <selection pane="topRight" activeCell="K1" sqref="K1"/>
      <selection pane="bottomLeft" activeCell="A5" sqref="A5"/>
      <selection pane="bottomRight" activeCell="AR265" sqref="AR265"/>
    </sheetView>
  </sheetViews>
  <sheetFormatPr defaultColWidth="0" defaultRowHeight="13.5" zeroHeight="1" outlineLevelCol="1"/>
  <cols>
    <col min="1" max="1" width="2.61328125" customWidth="1"/>
    <col min="2" max="2" width="3.3828125" customWidth="1"/>
    <col min="3" max="3" width="2.84375" customWidth="1"/>
    <col min="4" max="4" width="2" customWidth="1"/>
    <col min="5" max="5" width="62" customWidth="1"/>
    <col min="6" max="6" width="8" customWidth="1"/>
    <col min="7" max="7" width="12" customWidth="1"/>
    <col min="8" max="8" width="6.4609375" customWidth="1"/>
    <col min="9" max="9" width="11" customWidth="1"/>
    <col min="10" max="10" width="1.4609375" customWidth="1" collapsed="1"/>
    <col min="11" max="35" width="9.61328125" hidden="1" customWidth="1" outlineLevel="1"/>
    <col min="36" max="36" width="9.61328125" customWidth="1" collapsed="1"/>
    <col min="37" max="48" width="9.61328125" customWidth="1"/>
    <col min="49" max="49" width="3" customWidth="1"/>
    <col min="50" max="50" width="9" customWidth="1"/>
    <col min="51" max="16384" width="9" hidden="1"/>
  </cols>
  <sheetData>
    <row r="1" spans="1:50" ht="18.5">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
      <c r="A3" s="181"/>
      <c r="B3" s="528">
        <f>m_identity</f>
        <v>11</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1.321792585589326</v>
      </c>
      <c r="AT8" s="92">
        <f>'Annual Inflation'!AT32</f>
        <v>1.3743827621199309</v>
      </c>
      <c r="AU8" s="92">
        <f>'Annual Inflation'!AU32</f>
        <v>1.4066722012363251</v>
      </c>
      <c r="AV8" s="92">
        <f>'Annual Inflation'!AV32</f>
        <v>1.4352422149476913</v>
      </c>
      <c r="AW8" s="165"/>
    </row>
    <row r="9" spans="1:50" ht="16">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7">
        <f>CHOOSE($B$3,#REF!,#REF!,#REF!,#REF!,#REF!,#REF!,#REF!,#REF!,#REF!,#REF!,SPD!AR15,#REF!,#REF!,#REF!)</f>
        <v>21.76</v>
      </c>
      <c r="AS15" s="527">
        <f>CHOOSE($B$3,#REF!,#REF!,#REF!,#REF!,#REF!,#REF!,#REF!,#REF!,#REF!,#REF!,SPD!AS15,#REF!,#REF!,#REF!)</f>
        <v>25.6</v>
      </c>
      <c r="AT15" s="527">
        <f>CHOOSE($B$3,#REF!,#REF!,#REF!,#REF!,#REF!,#REF!,#REF!,#REF!,#REF!,#REF!,SPD!AT15,#REF!,#REF!,#REF!)</f>
        <v>22.64</v>
      </c>
      <c r="AU15" s="527">
        <f>CHOOSE($B$3,#REF!,#REF!,#REF!,#REF!,#REF!,#REF!,#REF!,#REF!,#REF!,#REF!,SPD!AU15,#REF!,#REF!,#REF!)</f>
        <v>22.21</v>
      </c>
      <c r="AV15" s="527">
        <f>CHOOSE($B$3,#REF!,#REF!,#REF!,#REF!,#REF!,#REF!,#REF!,#REF!,#REF!,#REF!,SPD!AV15,#REF!,#REF!,#REF!)</f>
        <v>22.87</v>
      </c>
      <c r="AW15" s="184"/>
    </row>
    <row r="16" spans="1:50" ht="16">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7">
        <f>CHOOSE($B$3,#REF!,#REF!,#REF!,#REF!,#REF!,#REF!,#REF!,#REF!,#REF!,#REF!,SPD!AR16,#REF!,#REF!,#REF!)</f>
        <v>40.21</v>
      </c>
      <c r="AS16" s="527">
        <f>CHOOSE($B$3,#REF!,#REF!,#REF!,#REF!,#REF!,#REF!,#REF!,#REF!,#REF!,#REF!,SPD!AS16,#REF!,#REF!,#REF!)</f>
        <v>43.95</v>
      </c>
      <c r="AT16" s="527">
        <f>CHOOSE($B$3,#REF!,#REF!,#REF!,#REF!,#REF!,#REF!,#REF!,#REF!,#REF!,#REF!,SPD!AT16,#REF!,#REF!,#REF!)</f>
        <v>44.23</v>
      </c>
      <c r="AU16" s="527">
        <f>CHOOSE($B$3,#REF!,#REF!,#REF!,#REF!,#REF!,#REF!,#REF!,#REF!,#REF!,#REF!,SPD!AU16,#REF!,#REF!,#REF!)</f>
        <v>44.77</v>
      </c>
      <c r="AV16" s="527">
        <f>CHOOSE($B$3,#REF!,#REF!,#REF!,#REF!,#REF!,#REF!,#REF!,#REF!,#REF!,#REF!,SPD!AV16,#REF!,#REF!,#REF!)</f>
        <v>42.96</v>
      </c>
      <c r="AW16" s="184"/>
    </row>
    <row r="17" spans="1:50" ht="16">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7">
        <f>CHOOSE($B$3,#REF!,#REF!,#REF!,#REF!,#REF!,#REF!,#REF!,#REF!,#REF!,#REF!,SPD!AR17,#REF!,#REF!,#REF!)</f>
        <v>32.65</v>
      </c>
      <c r="AS17" s="527">
        <f>CHOOSE($B$3,#REF!,#REF!,#REF!,#REF!,#REF!,#REF!,#REF!,#REF!,#REF!,#REF!,SPD!AS17,#REF!,#REF!,#REF!)</f>
        <v>34.369999999999997</v>
      </c>
      <c r="AT17" s="527">
        <f>CHOOSE($B$3,#REF!,#REF!,#REF!,#REF!,#REF!,#REF!,#REF!,#REF!,#REF!,#REF!,SPD!AT17,#REF!,#REF!,#REF!)</f>
        <v>29.04</v>
      </c>
      <c r="AU17" s="527">
        <f>CHOOSE($B$3,#REF!,#REF!,#REF!,#REF!,#REF!,#REF!,#REF!,#REF!,#REF!,#REF!,SPD!AU17,#REF!,#REF!,#REF!)</f>
        <v>30.35</v>
      </c>
      <c r="AV17" s="527">
        <f>CHOOSE($B$3,#REF!,#REF!,#REF!,#REF!,#REF!,#REF!,#REF!,#REF!,#REF!,#REF!,SPD!AV17,#REF!,#REF!,#REF!)</f>
        <v>27.41</v>
      </c>
      <c r="AW17" s="184"/>
    </row>
    <row r="18" spans="1:50" ht="16">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7">
        <f>CHOOSE($B$3,#REF!,#REF!,#REF!,#REF!,#REF!,#REF!,#REF!,#REF!,#REF!,#REF!,SPD!AR18,#REF!,#REF!,#REF!)</f>
        <v>25.36</v>
      </c>
      <c r="AS18" s="527">
        <f>CHOOSE($B$3,#REF!,#REF!,#REF!,#REF!,#REF!,#REF!,#REF!,#REF!,#REF!,#REF!,SPD!AS18,#REF!,#REF!,#REF!)</f>
        <v>25.05</v>
      </c>
      <c r="AT18" s="527">
        <f>CHOOSE($B$3,#REF!,#REF!,#REF!,#REF!,#REF!,#REF!,#REF!,#REF!,#REF!,#REF!,SPD!AT18,#REF!,#REF!,#REF!)</f>
        <v>24.51</v>
      </c>
      <c r="AU18" s="527">
        <f>CHOOSE($B$3,#REF!,#REF!,#REF!,#REF!,#REF!,#REF!,#REF!,#REF!,#REF!,#REF!,SPD!AU18,#REF!,#REF!,#REF!)</f>
        <v>24.1</v>
      </c>
      <c r="AV18" s="527">
        <f>CHOOSE($B$3,#REF!,#REF!,#REF!,#REF!,#REF!,#REF!,#REF!,#REF!,#REF!,#REF!,SPD!AV18,#REF!,#REF!,#REF!)</f>
        <v>23.66</v>
      </c>
      <c r="AW18" s="184"/>
    </row>
    <row r="19" spans="1:50" ht="16">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7">
        <f>CHOOSE($B$3,#REF!,#REF!,#REF!,#REF!,#REF!,#REF!,#REF!,#REF!,#REF!,#REF!,SPD!AR19,#REF!,#REF!,#REF!)</f>
        <v>3.85</v>
      </c>
      <c r="AS19" s="527">
        <f>CHOOSE($B$3,#REF!,#REF!,#REF!,#REF!,#REF!,#REF!,#REF!,#REF!,#REF!,#REF!,SPD!AS19,#REF!,#REF!,#REF!)</f>
        <v>3.87</v>
      </c>
      <c r="AT19" s="527">
        <f>CHOOSE($B$3,#REF!,#REF!,#REF!,#REF!,#REF!,#REF!,#REF!,#REF!,#REF!,#REF!,SPD!AT19,#REF!,#REF!,#REF!)</f>
        <v>3.81</v>
      </c>
      <c r="AU19" s="527">
        <f>CHOOSE($B$3,#REF!,#REF!,#REF!,#REF!,#REF!,#REF!,#REF!,#REF!,#REF!,#REF!,SPD!AU19,#REF!,#REF!,#REF!)</f>
        <v>3.87</v>
      </c>
      <c r="AV19" s="527">
        <f>CHOOSE($B$3,#REF!,#REF!,#REF!,#REF!,#REF!,#REF!,#REF!,#REF!,#REF!,#REF!,SPD!AV19,#REF!,#REF!,#REF!)</f>
        <v>3.68</v>
      </c>
      <c r="AW19" s="184"/>
    </row>
    <row r="20" spans="1:50" ht="16">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7">
        <f>CHOOSE($B$3,#REF!,#REF!,#REF!,#REF!,#REF!,#REF!,#REF!,#REF!,#REF!,#REF!,SPD!AR20,#REF!,#REF!,#REF!)</f>
        <v>16.309999999999999</v>
      </c>
      <c r="AS20" s="527">
        <f>CHOOSE($B$3,#REF!,#REF!,#REF!,#REF!,#REF!,#REF!,#REF!,#REF!,#REF!,#REF!,SPD!AS20,#REF!,#REF!,#REF!)</f>
        <v>16.100000000000001</v>
      </c>
      <c r="AT20" s="527">
        <f>CHOOSE($B$3,#REF!,#REF!,#REF!,#REF!,#REF!,#REF!,#REF!,#REF!,#REF!,#REF!,SPD!AT20,#REF!,#REF!,#REF!)</f>
        <v>15.68</v>
      </c>
      <c r="AU20" s="527">
        <f>CHOOSE($B$3,#REF!,#REF!,#REF!,#REF!,#REF!,#REF!,#REF!,#REF!,#REF!,#REF!,SPD!AU20,#REF!,#REF!,#REF!)</f>
        <v>15.11</v>
      </c>
      <c r="AV20" s="527">
        <f>CHOOSE($B$3,#REF!,#REF!,#REF!,#REF!,#REF!,#REF!,#REF!,#REF!,#REF!,#REF!,SPD!AV20,#REF!,#REF!,#REF!)</f>
        <v>14.78</v>
      </c>
      <c r="AW20" s="184"/>
    </row>
    <row r="21" spans="1:50" ht="16">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7">
        <f>CHOOSE($B$3,#REF!,#REF!,#REF!,#REF!,#REF!,#REF!,#REF!,#REF!,#REF!,#REF!,SPD!AR21,#REF!,#REF!,#REF!)</f>
        <v>93.05</v>
      </c>
      <c r="AS21" s="527">
        <f>CHOOSE($B$3,#REF!,#REF!,#REF!,#REF!,#REF!,#REF!,#REF!,#REF!,#REF!,#REF!,SPD!AS21,#REF!,#REF!,#REF!)</f>
        <v>90.23</v>
      </c>
      <c r="AT21" s="527">
        <f>CHOOSE($B$3,#REF!,#REF!,#REF!,#REF!,#REF!,#REF!,#REF!,#REF!,#REF!,#REF!,SPD!AT21,#REF!,#REF!,#REF!)</f>
        <v>88.25</v>
      </c>
      <c r="AU21" s="527">
        <f>CHOOSE($B$3,#REF!,#REF!,#REF!,#REF!,#REF!,#REF!,#REF!,#REF!,#REF!,#REF!,SPD!AU21,#REF!,#REF!,#REF!)</f>
        <v>83.89</v>
      </c>
      <c r="AV21" s="527">
        <f>CHOOSE($B$3,#REF!,#REF!,#REF!,#REF!,#REF!,#REF!,#REF!,#REF!,#REF!,#REF!,SPD!AV21,#REF!,#REF!,#REF!)</f>
        <v>82.16</v>
      </c>
      <c r="AW21" s="184"/>
    </row>
    <row r="22" spans="1:50" ht="16">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
      <c r="A24" s="82"/>
      <c r="B24" s="82"/>
      <c r="C24" s="82"/>
      <c r="D24" s="82"/>
      <c r="E24" s="82" t="str">
        <f>CHOOSE($B$3,#REF!,#REF!,#REF!,#REF!,#REF!,#REF!,#REF!,#REF!,#REF!,#REF!,SPD!E24,#REF!,#REF!,#REF!)</f>
        <v>RPEs (bucket 1 allowances)</v>
      </c>
      <c r="F24" s="82"/>
      <c r="G24" s="82" t="s">
        <v>101</v>
      </c>
      <c r="H24" s="82" t="str">
        <f>CHOOSE($B$3,#REF!,#REF!,#REF!,#REF!,#REF!,#REF!,#REF!,#REF!,#REF!,#REF!,SPD!H24,#REF!,#REF!,#REF!)</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CHOOSE($B$3,#REF!,#REF!,#REF!,#REF!,#REF!,#REF!,#REF!,#REF!,#REF!,#REF!,SPD!AR24,#REF!,#REF!,#REF!)</f>
        <v>-12.457691999999987</v>
      </c>
      <c r="AS24" s="207">
        <f>CHOOSE($B$3,#REF!,#REF!,#REF!,#REF!,#REF!,#REF!,#REF!,#REF!,#REF!,#REF!,SPD!AS24,#REF!,#REF!,#REF!)</f>
        <v>-10.829015999999992</v>
      </c>
      <c r="AT24" s="207">
        <f>CHOOSE($B$3,#REF!,#REF!,#REF!,#REF!,#REF!,#REF!,#REF!,#REF!,#REF!,#REF!,SPD!AT24,#REF!,#REF!,#REF!)</f>
        <v>-7.6047660000000095</v>
      </c>
      <c r="AU24" s="207">
        <f>CHOOSE($B$3,#REF!,#REF!,#REF!,#REF!,#REF!,#REF!,#REF!,#REF!,#REF!,#REF!,SPD!AU24,#REF!,#REF!,#REF!)</f>
        <v>-5.0506059999999993</v>
      </c>
      <c r="AV24" s="207">
        <f>CHOOSE($B$3,#REF!,#REF!,#REF!,#REF!,#REF!,#REF!,#REF!,#REF!,#REF!,#REF!,SPD!AV24,#REF!,#REF!,#REF!)</f>
        <v>-2.8210040000000132</v>
      </c>
      <c r="AW24" s="184"/>
      <c r="AX24" s="258"/>
    </row>
    <row r="25" spans="1:50" ht="16">
      <c r="A25" s="82"/>
      <c r="B25" s="82"/>
      <c r="C25" s="82"/>
      <c r="D25" s="82"/>
      <c r="E25" s="82" t="str">
        <f>CHOOSE($B$3,#REF!,#REF!,#REF!,#REF!,#REF!,#REF!,#REF!,#REF!,#REF!,#REF!,SPD!E25,#REF!,#REF!,#REF!)</f>
        <v>RPEs (bucket 2 allowances)</v>
      </c>
      <c r="F25" s="82"/>
      <c r="G25" s="82" t="s">
        <v>101</v>
      </c>
      <c r="H25" s="82" t="str">
        <f>CHOOSE($B$3,#REF!,#REF!,#REF!,#REF!,#REF!,#REF!,#REF!,#REF!,#REF!,#REF!,SPD!H25,#REF!,#REF!,#REF!)</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CHOOSE($B$3,#REF!,#REF!,#REF!,#REF!,#REF!,#REF!,#REF!,#REF!,#REF!,#REF!,SPD!AR25,#REF!,#REF!,#REF!)</f>
        <v>-1.1478576020290272</v>
      </c>
      <c r="AS25" s="207">
        <f>CHOOSE($B$3,#REF!,#REF!,#REF!,#REF!,#REF!,#REF!,#REF!,#REF!,#REF!,#REF!,SPD!AS25,#REF!,#REF!,#REF!)</f>
        <v>-1.1548169638989747</v>
      </c>
      <c r="AT25" s="207">
        <f>CHOOSE($B$3,#REF!,#REF!,#REF!,#REF!,#REF!,#REF!,#REF!,#REF!,#REF!,#REF!,SPD!AT25,#REF!,#REF!,#REF!)</f>
        <v>-1.8161834418747058</v>
      </c>
      <c r="AU25" s="207">
        <f>CHOOSE($B$3,#REF!,#REF!,#REF!,#REF!,#REF!,#REF!,#REF!,#REF!,#REF!,#REF!,SPD!AU25,#REF!,#REF!,#REF!)</f>
        <v>-1.0489039676531986</v>
      </c>
      <c r="AV25" s="207">
        <f>CHOOSE($B$3,#REF!,#REF!,#REF!,#REF!,#REF!,#REF!,#REF!,#REF!,#REF!,#REF!,SPD!AV25,#REF!,#REF!,#REF!)</f>
        <v>-0.60234089231570109</v>
      </c>
      <c r="AW25" s="184"/>
      <c r="AX25" s="258"/>
    </row>
    <row r="26" spans="1:50" ht="16">
      <c r="A26" s="82"/>
      <c r="B26" s="82"/>
      <c r="C26" s="82"/>
      <c r="D26" s="82"/>
      <c r="E26" s="82" t="str">
        <f>CHOOSE($B$3,#REF!,#REF!,#REF!,#REF!,#REF!,#REF!,#REF!,#REF!,#REF!,#REF!,SPD!E26,#REF!,#REF!,#REF!)</f>
        <v>Physical Security Re-opener</v>
      </c>
      <c r="F26" s="82"/>
      <c r="G26" s="82" t="s">
        <v>101</v>
      </c>
      <c r="H26" s="82" t="str">
        <f>CHOOSE($B$3,#REF!,#REF!,#REF!,#REF!,#REF!,#REF!,#REF!,#REF!,#REF!,#REF!,SPD!H26,#REF!,#REF!,#REF!)</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CHOOSE($B$3,#REF!,#REF!,#REF!,#REF!,#REF!,#REF!,#REF!,#REF!,#REF!,#REF!,SPD!AR26,#REF!,#REF!,#REF!)</f>
        <v>0</v>
      </c>
      <c r="AS26" s="476">
        <f>CHOOSE($B$3,#REF!,#REF!,#REF!,#REF!,#REF!,#REF!,#REF!,#REF!,#REF!,#REF!,SPD!AS26,#REF!,#REF!,#REF!)</f>
        <v>0</v>
      </c>
      <c r="AT26" s="476">
        <f>CHOOSE($B$3,#REF!,#REF!,#REF!,#REF!,#REF!,#REF!,#REF!,#REF!,#REF!,#REF!,SPD!AT26,#REF!,#REF!,#REF!)</f>
        <v>0</v>
      </c>
      <c r="AU26" s="476">
        <f>CHOOSE($B$3,#REF!,#REF!,#REF!,#REF!,#REF!,#REF!,#REF!,#REF!,#REF!,#REF!,SPD!AU26,#REF!,#REF!,#REF!)</f>
        <v>0</v>
      </c>
      <c r="AV26" s="476">
        <f>CHOOSE($B$3,#REF!,#REF!,#REF!,#REF!,#REF!,#REF!,#REF!,#REF!,#REF!,#REF!,SPD!AV26,#REF!,#REF!,#REF!)</f>
        <v>0</v>
      </c>
      <c r="AW26" s="184"/>
      <c r="AX26" s="258"/>
    </row>
    <row r="27" spans="1:50" ht="16">
      <c r="A27" s="82"/>
      <c r="B27" s="82"/>
      <c r="C27" s="82"/>
      <c r="D27" s="82"/>
      <c r="E27" s="82" t="str">
        <f>CHOOSE($B$3,#REF!,#REF!,#REF!,#REF!,#REF!,#REF!,#REF!,#REF!,#REF!,#REF!,SPD!E27,#REF!,#REF!,#REF!)</f>
        <v>Specified Street Works Costs Re-opener</v>
      </c>
      <c r="F27" s="82"/>
      <c r="G27" s="82" t="s">
        <v>101</v>
      </c>
      <c r="H27" s="82" t="str">
        <f>CHOOSE($B$3,#REF!,#REF!,#REF!,#REF!,#REF!,#REF!,#REF!,#REF!,#REF!,#REF!,SPD!H27,#REF!,#REF!,#REF!)</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CHOOSE($B$3,#REF!,#REF!,#REF!,#REF!,#REF!,#REF!,#REF!,#REF!,#REF!,#REF!,SPD!AR27,#REF!,#REF!,#REF!)</f>
        <v>0</v>
      </c>
      <c r="AS27" s="476">
        <f>CHOOSE($B$3,#REF!,#REF!,#REF!,#REF!,#REF!,#REF!,#REF!,#REF!,#REF!,#REF!,SPD!AS27,#REF!,#REF!,#REF!)</f>
        <v>0</v>
      </c>
      <c r="AT27" s="476">
        <f>CHOOSE($B$3,#REF!,#REF!,#REF!,#REF!,#REF!,#REF!,#REF!,#REF!,#REF!,#REF!,SPD!AT27,#REF!,#REF!,#REF!)</f>
        <v>0</v>
      </c>
      <c r="AU27" s="476">
        <f>CHOOSE($B$3,#REF!,#REF!,#REF!,#REF!,#REF!,#REF!,#REF!,#REF!,#REF!,#REF!,SPD!AU27,#REF!,#REF!,#REF!)</f>
        <v>0</v>
      </c>
      <c r="AV27" s="476">
        <f>CHOOSE($B$3,#REF!,#REF!,#REF!,#REF!,#REF!,#REF!,#REF!,#REF!,#REF!,#REF!,SPD!AV27,#REF!,#REF!,#REF!)</f>
        <v>0</v>
      </c>
      <c r="AW27" s="184"/>
      <c r="AX27" s="258"/>
    </row>
    <row r="28" spans="1:50" ht="16">
      <c r="A28" s="82"/>
      <c r="B28" s="82"/>
      <c r="C28" s="82"/>
      <c r="D28" s="82"/>
      <c r="E28" s="82" t="str">
        <f>CHOOSE($B$3,#REF!,#REF!,#REF!,#REF!,#REF!,#REF!,#REF!,#REF!,#REF!,#REF!,SPD!E28,#REF!,#REF!,#REF!)</f>
        <v>Rail Electrification Costs Re-opener</v>
      </c>
      <c r="F28" s="82"/>
      <c r="G28" s="82" t="s">
        <v>101</v>
      </c>
      <c r="H28" s="82" t="str">
        <f>CHOOSE($B$3,#REF!,#REF!,#REF!,#REF!,#REF!,#REF!,#REF!,#REF!,#REF!,#REF!,SPD!H28,#REF!,#REF!,#REF!)</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CHOOSE($B$3,#REF!,#REF!,#REF!,#REF!,#REF!,#REF!,#REF!,#REF!,#REF!,#REF!,SPD!AR28,#REF!,#REF!,#REF!)</f>
        <v>0</v>
      </c>
      <c r="AS28" s="476">
        <f>CHOOSE($B$3,#REF!,#REF!,#REF!,#REF!,#REF!,#REF!,#REF!,#REF!,#REF!,#REF!,SPD!AS28,#REF!,#REF!,#REF!)</f>
        <v>0</v>
      </c>
      <c r="AT28" s="476">
        <f>CHOOSE($B$3,#REF!,#REF!,#REF!,#REF!,#REF!,#REF!,#REF!,#REF!,#REF!,#REF!,SPD!AT28,#REF!,#REF!,#REF!)</f>
        <v>0</v>
      </c>
      <c r="AU28" s="476">
        <f>CHOOSE($B$3,#REF!,#REF!,#REF!,#REF!,#REF!,#REF!,#REF!,#REF!,#REF!,#REF!,SPD!AU28,#REF!,#REF!,#REF!)</f>
        <v>0</v>
      </c>
      <c r="AV28" s="476">
        <f>CHOOSE($B$3,#REF!,#REF!,#REF!,#REF!,#REF!,#REF!,#REF!,#REF!,#REF!,#REF!,SPD!AV28,#REF!,#REF!,#REF!)</f>
        <v>0</v>
      </c>
      <c r="AW28" s="184"/>
      <c r="AX28" s="258"/>
    </row>
    <row r="29" spans="1:50" ht="16">
      <c r="A29" s="82"/>
      <c r="B29" s="82"/>
      <c r="C29" s="82"/>
      <c r="D29" s="82"/>
      <c r="E29" s="82" t="str">
        <f>CHOOSE($B$3,#REF!,#REF!,#REF!,#REF!,#REF!,#REF!,#REF!,#REF!,#REF!,#REF!,SPD!E29,#REF!,#REF!,#REF!)</f>
        <v>Net Zero Re-opener</v>
      </c>
      <c r="F29" s="82"/>
      <c r="G29" s="82" t="s">
        <v>101</v>
      </c>
      <c r="H29" s="82" t="str">
        <f>CHOOSE($B$3,#REF!,#REF!,#REF!,#REF!,#REF!,#REF!,#REF!,#REF!,#REF!,#REF!,SPD!H29,#REF!,#REF!,#REF!)</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CHOOSE($B$3,#REF!,#REF!,#REF!,#REF!,#REF!,#REF!,#REF!,#REF!,#REF!,#REF!,SPD!AR29,#REF!,#REF!,#REF!)</f>
        <v>0</v>
      </c>
      <c r="AS29" s="476">
        <f>CHOOSE($B$3,#REF!,#REF!,#REF!,#REF!,#REF!,#REF!,#REF!,#REF!,#REF!,#REF!,SPD!AS29,#REF!,#REF!,#REF!)</f>
        <v>0</v>
      </c>
      <c r="AT29" s="476">
        <f>CHOOSE($B$3,#REF!,#REF!,#REF!,#REF!,#REF!,#REF!,#REF!,#REF!,#REF!,#REF!,SPD!AT29,#REF!,#REF!,#REF!)</f>
        <v>0</v>
      </c>
      <c r="AU29" s="476">
        <f>CHOOSE($B$3,#REF!,#REF!,#REF!,#REF!,#REF!,#REF!,#REF!,#REF!,#REF!,#REF!,SPD!AU29,#REF!,#REF!,#REF!)</f>
        <v>0</v>
      </c>
      <c r="AV29" s="476">
        <f>CHOOSE($B$3,#REF!,#REF!,#REF!,#REF!,#REF!,#REF!,#REF!,#REF!,#REF!,#REF!,SPD!AV29,#REF!,#REF!,#REF!)</f>
        <v>0</v>
      </c>
      <c r="AW29" s="184"/>
      <c r="AX29" s="258"/>
    </row>
    <row r="30" spans="1:50" ht="16">
      <c r="A30" s="82"/>
      <c r="B30" s="82"/>
      <c r="C30" s="82"/>
      <c r="D30" s="82"/>
      <c r="E30" s="82" t="str">
        <f>CHOOSE($B$3,#REF!,#REF!,#REF!,#REF!,#REF!,#REF!,#REF!,#REF!,#REF!,#REF!,SPD!E30,#REF!,#REF!,#REF!)</f>
        <v>Coordinated Adjustment Mechanism Re-opener</v>
      </c>
      <c r="F30" s="82"/>
      <c r="G30" s="82" t="s">
        <v>101</v>
      </c>
      <c r="H30" s="82" t="str">
        <f>CHOOSE($B$3,#REF!,#REF!,#REF!,#REF!,#REF!,#REF!,#REF!,#REF!,#REF!,#REF!,SPD!H30,#REF!,#REF!,#REF!)</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CHOOSE($B$3,#REF!,#REF!,#REF!,#REF!,#REF!,#REF!,#REF!,#REF!,#REF!,#REF!,SPD!AR30,#REF!,#REF!,#REF!)</f>
        <v>0</v>
      </c>
      <c r="AS30" s="476">
        <f>CHOOSE($B$3,#REF!,#REF!,#REF!,#REF!,#REF!,#REF!,#REF!,#REF!,#REF!,#REF!,SPD!AS30,#REF!,#REF!,#REF!)</f>
        <v>0</v>
      </c>
      <c r="AT30" s="476">
        <f>CHOOSE($B$3,#REF!,#REF!,#REF!,#REF!,#REF!,#REF!,#REF!,#REF!,#REF!,#REF!,SPD!AT30,#REF!,#REF!,#REF!)</f>
        <v>0</v>
      </c>
      <c r="AU30" s="476">
        <f>CHOOSE($B$3,#REF!,#REF!,#REF!,#REF!,#REF!,#REF!,#REF!,#REF!,#REF!,#REF!,SPD!AU30,#REF!,#REF!,#REF!)</f>
        <v>0</v>
      </c>
      <c r="AV30" s="476">
        <f>CHOOSE($B$3,#REF!,#REF!,#REF!,#REF!,#REF!,#REF!,#REF!,#REF!,#REF!,#REF!,SPD!AV30,#REF!,#REF!,#REF!)</f>
        <v>0</v>
      </c>
      <c r="AW30" s="184"/>
      <c r="AX30" s="258"/>
    </row>
    <row r="31" spans="1:50" ht="16">
      <c r="A31" s="82"/>
      <c r="B31" s="82"/>
      <c r="C31" s="82"/>
      <c r="D31" s="82"/>
      <c r="E31" s="82" t="str">
        <f>CHOOSE($B$3,#REF!,#REF!,#REF!,#REF!,#REF!,#REF!,#REF!,#REF!,#REF!,#REF!,SPD!E31,#REF!,#REF!,#REF!)</f>
        <v>Electricity System Restoration Re-opener</v>
      </c>
      <c r="F31" s="82"/>
      <c r="G31" s="82" t="s">
        <v>101</v>
      </c>
      <c r="H31" s="82" t="str">
        <f>CHOOSE($B$3,#REF!,#REF!,#REF!,#REF!,#REF!,#REF!,#REF!,#REF!,#REF!,#REF!,SPD!H31,#REF!,#REF!,#REF!)</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CHOOSE($B$3,#REF!,#REF!,#REF!,#REF!,#REF!,#REF!,#REF!,#REF!,#REF!,#REF!,SPD!AR31,#REF!,#REF!,#REF!)</f>
        <v>0</v>
      </c>
      <c r="AS31" s="476">
        <f>CHOOSE($B$3,#REF!,#REF!,#REF!,#REF!,#REF!,#REF!,#REF!,#REF!,#REF!,#REF!,SPD!AS31,#REF!,#REF!,#REF!)</f>
        <v>0</v>
      </c>
      <c r="AT31" s="476">
        <f>CHOOSE($B$3,#REF!,#REF!,#REF!,#REF!,#REF!,#REF!,#REF!,#REF!,#REF!,#REF!,SPD!AT31,#REF!,#REF!,#REF!)</f>
        <v>8.1054073809727978</v>
      </c>
      <c r="AU31" s="476">
        <f>CHOOSE($B$3,#REF!,#REF!,#REF!,#REF!,#REF!,#REF!,#REF!,#REF!,#REF!,#REF!,SPD!AU31,#REF!,#REF!,#REF!)</f>
        <v>20.149429349970596</v>
      </c>
      <c r="AV31" s="476">
        <f>CHOOSE($B$3,#REF!,#REF!,#REF!,#REF!,#REF!,#REF!,#REF!,#REF!,#REF!,#REF!,SPD!AV31,#REF!,#REF!,#REF!)</f>
        <v>22.502297800956807</v>
      </c>
      <c r="AW31" s="184"/>
      <c r="AX31" s="258"/>
    </row>
    <row r="32" spans="1:50" ht="16">
      <c r="A32" s="82"/>
      <c r="B32" s="82"/>
      <c r="C32" s="82"/>
      <c r="D32" s="82"/>
      <c r="E32" s="82" t="str">
        <f>CHOOSE($B$3,#REF!,#REF!,#REF!,#REF!,#REF!,#REF!,#REF!,#REF!,#REF!,#REF!,SPD!E32,#REF!,#REF!,#REF!)</f>
        <v>Environmental Re-opener</v>
      </c>
      <c r="F32" s="82"/>
      <c r="G32" s="82" t="s">
        <v>101</v>
      </c>
      <c r="H32" s="82" t="str">
        <f>CHOOSE($B$3,#REF!,#REF!,#REF!,#REF!,#REF!,#REF!,#REF!,#REF!,#REF!,#REF!,SPD!H32,#REF!,#REF!,#REF!)</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CHOOSE($B$3,#REF!,#REF!,#REF!,#REF!,#REF!,#REF!,#REF!,#REF!,#REF!,#REF!,SPD!AR32,#REF!,#REF!,#REF!)</f>
        <v>0</v>
      </c>
      <c r="AS32" s="476">
        <f>CHOOSE($B$3,#REF!,#REF!,#REF!,#REF!,#REF!,#REF!,#REF!,#REF!,#REF!,#REF!,SPD!AS32,#REF!,#REF!,#REF!)</f>
        <v>0</v>
      </c>
      <c r="AT32" s="476">
        <f>CHOOSE($B$3,#REF!,#REF!,#REF!,#REF!,#REF!,#REF!,#REF!,#REF!,#REF!,#REF!,SPD!AT32,#REF!,#REF!,#REF!)</f>
        <v>0</v>
      </c>
      <c r="AU32" s="476">
        <f>CHOOSE($B$3,#REF!,#REF!,#REF!,#REF!,#REF!,#REF!,#REF!,#REF!,#REF!,#REF!,SPD!AU32,#REF!,#REF!,#REF!)</f>
        <v>0</v>
      </c>
      <c r="AV32" s="476">
        <f>CHOOSE($B$3,#REF!,#REF!,#REF!,#REF!,#REF!,#REF!,#REF!,#REF!,#REF!,#REF!,SPD!AV32,#REF!,#REF!,#REF!)</f>
        <v>0</v>
      </c>
      <c r="AW32" s="184"/>
      <c r="AX32" s="258"/>
    </row>
    <row r="33" spans="1:50" ht="16">
      <c r="A33" s="82"/>
      <c r="B33" s="82"/>
      <c r="C33" s="82"/>
      <c r="D33" s="82"/>
      <c r="E33" s="82" t="str">
        <f>CHOOSE($B$3,#REF!,#REF!,#REF!,#REF!,#REF!,#REF!,#REF!,#REF!,#REF!,#REF!,SPD!E33,#REF!,#REF!,#REF!)</f>
        <v>Network Asset Risk Metric Expenditure</v>
      </c>
      <c r="F33" s="82"/>
      <c r="G33" s="82" t="s">
        <v>101</v>
      </c>
      <c r="H33" s="82" t="str">
        <f>CHOOSE($B$3,#REF!,#REF!,#REF!,#REF!,#REF!,#REF!,#REF!,#REF!,#REF!,#REF!,SPD!H33,#REF!,#REF!,#REF!)</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CHOOSE($B$3,#REF!,#REF!,#REF!,#REF!,#REF!,#REF!,#REF!,#REF!,#REF!,#REF!,SPD!AR33,#REF!,#REF!,#REF!)</f>
        <v>30.88</v>
      </c>
      <c r="AS33" s="476">
        <f>CHOOSE($B$3,#REF!,#REF!,#REF!,#REF!,#REF!,#REF!,#REF!,#REF!,#REF!,#REF!,SPD!AS33,#REF!,#REF!,#REF!)</f>
        <v>33.01</v>
      </c>
      <c r="AT33" s="476">
        <f>CHOOSE($B$3,#REF!,#REF!,#REF!,#REF!,#REF!,#REF!,#REF!,#REF!,#REF!,#REF!,SPD!AT33,#REF!,#REF!,#REF!)</f>
        <v>24.84</v>
      </c>
      <c r="AU33" s="476">
        <f>CHOOSE($B$3,#REF!,#REF!,#REF!,#REF!,#REF!,#REF!,#REF!,#REF!,#REF!,#REF!,SPD!AU33,#REF!,#REF!,#REF!)</f>
        <v>25.69</v>
      </c>
      <c r="AV33" s="476">
        <f>CHOOSE($B$3,#REF!,#REF!,#REF!,#REF!,#REF!,#REF!,#REF!,#REF!,#REF!,#REF!,SPD!AV33,#REF!,#REF!,#REF!)</f>
        <v>25.63</v>
      </c>
      <c r="AW33" s="184"/>
      <c r="AX33" s="258"/>
    </row>
    <row r="34" spans="1:50" ht="16">
      <c r="A34" s="82"/>
      <c r="B34" s="82"/>
      <c r="C34" s="82"/>
      <c r="D34" s="82"/>
      <c r="E34" s="82" t="str">
        <f>CHOOSE($B$3,#REF!,#REF!,#REF!,#REF!,#REF!,#REF!,#REF!,#REF!,#REF!,#REF!,SPD!E34,#REF!,#REF!,#REF!)</f>
        <v>Load Related Expenditure: Secondary Reinforcement</v>
      </c>
      <c r="F34" s="82"/>
      <c r="G34" s="82" t="s">
        <v>101</v>
      </c>
      <c r="H34" s="82" t="str">
        <f>CHOOSE($B$3,#REF!,#REF!,#REF!,#REF!,#REF!,#REF!,#REF!,#REF!,#REF!,#REF!,SPD!H34,#REF!,#REF!,#REF!)</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CHOOSE($B$3,#REF!,#REF!,#REF!,#REF!,#REF!,#REF!,#REF!,#REF!,#REF!,#REF!,SPD!AR34,#REF!,#REF!,#REF!)</f>
        <v>13.833050823790558</v>
      </c>
      <c r="AS34" s="476">
        <f>CHOOSE($B$3,#REF!,#REF!,#REF!,#REF!,#REF!,#REF!,#REF!,#REF!,#REF!,#REF!,SPD!AS34,#REF!,#REF!,#REF!)</f>
        <v>11.953911368002304</v>
      </c>
      <c r="AT34" s="476">
        <f>CHOOSE($B$3,#REF!,#REF!,#REF!,#REF!,#REF!,#REF!,#REF!,#REF!,#REF!,#REF!,SPD!AT34,#REF!,#REF!,#REF!)</f>
        <v>33.945406348480269</v>
      </c>
      <c r="AU34" s="476">
        <f>CHOOSE($B$3,#REF!,#REF!,#REF!,#REF!,#REF!,#REF!,#REF!,#REF!,#REF!,#REF!,SPD!AU34,#REF!,#REF!,#REF!)</f>
        <v>33.945406348480269</v>
      </c>
      <c r="AV34" s="476">
        <f>CHOOSE($B$3,#REF!,#REF!,#REF!,#REF!,#REF!,#REF!,#REF!,#REF!,#REF!,#REF!,SPD!AV34,#REF!,#REF!,#REF!)</f>
        <v>33.945406348480269</v>
      </c>
      <c r="AW34" s="184"/>
      <c r="AX34" s="258"/>
    </row>
    <row r="35" spans="1:50" ht="16">
      <c r="A35" s="82"/>
      <c r="B35" s="82"/>
      <c r="C35" s="82"/>
      <c r="D35" s="82"/>
      <c r="E35" s="82" t="str">
        <f>CHOOSE($B$3,#REF!,#REF!,#REF!,#REF!,#REF!,#REF!,#REF!,#REF!,#REF!,#REF!,SPD!E35,#REF!,#REF!,#REF!)</f>
        <v>Load Related Expenditure: Low Voltage Services</v>
      </c>
      <c r="F35" s="82"/>
      <c r="G35" s="82" t="s">
        <v>101</v>
      </c>
      <c r="H35" s="82" t="str">
        <f>CHOOSE($B$3,#REF!,#REF!,#REF!,#REF!,#REF!,#REF!,#REF!,#REF!,#REF!,#REF!,SPD!H35,#REF!,#REF!,#REF!)</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CHOOSE($B$3,#REF!,#REF!,#REF!,#REF!,#REF!,#REF!,#REF!,#REF!,#REF!,#REF!,SPD!AR35,#REF!,#REF!,#REF!)</f>
        <v>8.0245830144365442</v>
      </c>
      <c r="AS35" s="476">
        <f>CHOOSE($B$3,#REF!,#REF!,#REF!,#REF!,#REF!,#REF!,#REF!,#REF!,#REF!,#REF!,SPD!AS35,#REF!,#REF!,#REF!)</f>
        <v>7.3524851749011155</v>
      </c>
      <c r="AT35" s="476">
        <f>CHOOSE($B$3,#REF!,#REF!,#REF!,#REF!,#REF!,#REF!,#REF!,#REF!,#REF!,#REF!,SPD!AT35,#REF!,#REF!,#REF!)</f>
        <v>17.980532644252346</v>
      </c>
      <c r="AU35" s="476">
        <f>CHOOSE($B$3,#REF!,#REF!,#REF!,#REF!,#REF!,#REF!,#REF!,#REF!,#REF!,#REF!,SPD!AU35,#REF!,#REF!,#REF!)</f>
        <v>17.980532644252346</v>
      </c>
      <c r="AV35" s="476">
        <f>CHOOSE($B$3,#REF!,#REF!,#REF!,#REF!,#REF!,#REF!,#REF!,#REF!,#REF!,#REF!,SPD!AV35,#REF!,#REF!,#REF!)</f>
        <v>17.980532644252346</v>
      </c>
      <c r="AW35" s="184"/>
      <c r="AX35" s="258"/>
    </row>
    <row r="36" spans="1:50" ht="16">
      <c r="A36" s="82"/>
      <c r="B36" s="82"/>
      <c r="C36" s="82"/>
      <c r="D36" s="82"/>
      <c r="E36" s="82" t="str">
        <f>CHOOSE($B$3,#REF!,#REF!,#REF!,#REF!,#REF!,#REF!,#REF!,#REF!,#REF!,#REF!,SPD!E36,#REF!,#REF!,#REF!)</f>
        <v>Load Related Expenditure Re-opener</v>
      </c>
      <c r="F36" s="82"/>
      <c r="G36" s="82" t="s">
        <v>101</v>
      </c>
      <c r="H36" s="82" t="str">
        <f>CHOOSE($B$3,#REF!,#REF!,#REF!,#REF!,#REF!,#REF!,#REF!,#REF!,#REF!,#REF!,SPD!H36,#REF!,#REF!,#REF!)</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CHOOSE($B$3,#REF!,#REF!,#REF!,#REF!,#REF!,#REF!,#REF!,#REF!,#REF!,#REF!,SPD!AR36,#REF!,#REF!,#REF!)</f>
        <v>0</v>
      </c>
      <c r="AS36" s="476">
        <f>CHOOSE($B$3,#REF!,#REF!,#REF!,#REF!,#REF!,#REF!,#REF!,#REF!,#REF!,#REF!,SPD!AS36,#REF!,#REF!,#REF!)</f>
        <v>0</v>
      </c>
      <c r="AT36" s="476">
        <f>CHOOSE($B$3,#REF!,#REF!,#REF!,#REF!,#REF!,#REF!,#REF!,#REF!,#REF!,#REF!,SPD!AT36,#REF!,#REF!,#REF!)</f>
        <v>0</v>
      </c>
      <c r="AU36" s="476">
        <f>CHOOSE($B$3,#REF!,#REF!,#REF!,#REF!,#REF!,#REF!,#REF!,#REF!,#REF!,#REF!,SPD!AU36,#REF!,#REF!,#REF!)</f>
        <v>0</v>
      </c>
      <c r="AV36" s="476">
        <f>CHOOSE($B$3,#REF!,#REF!,#REF!,#REF!,#REF!,#REF!,#REF!,#REF!,#REF!,#REF!,SPD!AV36,#REF!,#REF!,#REF!)</f>
        <v>1.4460778139692056</v>
      </c>
      <c r="AW36" s="184"/>
    </row>
    <row r="37" spans="1:50" ht="16">
      <c r="A37" s="82"/>
      <c r="B37" s="82"/>
      <c r="C37" s="82"/>
      <c r="D37" s="82"/>
      <c r="E37" s="82" t="str">
        <f>CHOOSE($B$3,#REF!,#REF!,#REF!,#REF!,#REF!,#REF!,#REF!,#REF!,#REF!,#REF!,SPD!E37,#REF!,#REF!,#REF!)</f>
        <v>Digitalisation Re-opener</v>
      </c>
      <c r="F37" s="82"/>
      <c r="G37" s="82" t="s">
        <v>101</v>
      </c>
      <c r="H37" s="82" t="str">
        <f>CHOOSE($B$3,#REF!,#REF!,#REF!,#REF!,#REF!,#REF!,#REF!,#REF!,#REF!,#REF!,SPD!H37,#REF!,#REF!,#REF!)</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CHOOSE($B$3,#REF!,#REF!,#REF!,#REF!,#REF!,#REF!,#REF!,#REF!,#REF!,#REF!,SPD!AR37,#REF!,#REF!,#REF!)</f>
        <v>0</v>
      </c>
      <c r="AS37" s="476">
        <f>CHOOSE($B$3,#REF!,#REF!,#REF!,#REF!,#REF!,#REF!,#REF!,#REF!,#REF!,#REF!,SPD!AS37,#REF!,#REF!,#REF!)</f>
        <v>0</v>
      </c>
      <c r="AT37" s="476">
        <f>CHOOSE($B$3,#REF!,#REF!,#REF!,#REF!,#REF!,#REF!,#REF!,#REF!,#REF!,#REF!,SPD!AT37,#REF!,#REF!,#REF!)</f>
        <v>0</v>
      </c>
      <c r="AU37" s="476">
        <f>CHOOSE($B$3,#REF!,#REF!,#REF!,#REF!,#REF!,#REF!,#REF!,#REF!,#REF!,#REF!,SPD!AU37,#REF!,#REF!,#REF!)</f>
        <v>0</v>
      </c>
      <c r="AV37" s="476">
        <f>CHOOSE($B$3,#REF!,#REF!,#REF!,#REF!,#REF!,#REF!,#REF!,#REF!,#REF!,#REF!,SPD!AV37,#REF!,#REF!,#REF!)</f>
        <v>0</v>
      </c>
      <c r="AW37" s="184"/>
    </row>
    <row r="38" spans="1:50" ht="16">
      <c r="A38" s="82"/>
      <c r="B38" s="82"/>
      <c r="C38" s="82"/>
      <c r="D38" s="82"/>
      <c r="E38" s="82" t="str">
        <f>CHOOSE($B$3,#REF!,#REF!,#REF!,#REF!,#REF!,#REF!,#REF!,#REF!,#REF!,#REF!,SPD!E38,#REF!,#REF!,#REF!)</f>
        <v>PCB Interventions</v>
      </c>
      <c r="F38" s="82"/>
      <c r="G38" s="82" t="s">
        <v>101</v>
      </c>
      <c r="H38" s="82" t="str">
        <f>CHOOSE($B$3,#REF!,#REF!,#REF!,#REF!,#REF!,#REF!,#REF!,#REF!,#REF!,#REF!,SPD!H38,#REF!,#REF!,#REF!)</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CHOOSE($B$3,#REF!,#REF!,#REF!,#REF!,#REF!,#REF!,#REF!,#REF!,#REF!,#REF!,SPD!AR38,#REF!,#REF!,#REF!)</f>
        <v>2.669238</v>
      </c>
      <c r="AS38" s="476">
        <f>CHOOSE($B$3,#REF!,#REF!,#REF!,#REF!,#REF!,#REF!,#REF!,#REF!,#REF!,#REF!,SPD!AS38,#REF!,#REF!,#REF!)</f>
        <v>9.8556480000000004</v>
      </c>
      <c r="AT38" s="476">
        <f>CHOOSE($B$3,#REF!,#REF!,#REF!,#REF!,#REF!,#REF!,#REF!,#REF!,#REF!,#REF!,SPD!AT38,#REF!,#REF!,#REF!)</f>
        <v>8.8159821402006155</v>
      </c>
      <c r="AU38" s="476">
        <f>CHOOSE($B$3,#REF!,#REF!,#REF!,#REF!,#REF!,#REF!,#REF!,#REF!,#REF!,#REF!,SPD!AU38,#REF!,#REF!,#REF!)</f>
        <v>0</v>
      </c>
      <c r="AV38" s="476">
        <f>CHOOSE($B$3,#REF!,#REF!,#REF!,#REF!,#REF!,#REF!,#REF!,#REF!,#REF!,#REF!,SPD!AV38,#REF!,#REF!,#REF!)</f>
        <v>0</v>
      </c>
      <c r="AW38" s="184"/>
    </row>
    <row r="39" spans="1:50" ht="16">
      <c r="A39" s="82"/>
      <c r="B39" s="82"/>
      <c r="C39" s="82"/>
      <c r="D39" s="82"/>
      <c r="E39" s="82" t="str">
        <f>CHOOSE($B$3,#REF!,#REF!,#REF!,#REF!,#REF!,#REF!,#REF!,#REF!,#REF!,#REF!,SPD!E39,#REF!,#REF!,#REF!)</f>
        <v>Visual Amenity Projects</v>
      </c>
      <c r="F39" s="82"/>
      <c r="G39" s="82" t="s">
        <v>101</v>
      </c>
      <c r="H39" s="82" t="str">
        <f>CHOOSE($B$3,#REF!,#REF!,#REF!,#REF!,#REF!,#REF!,#REF!,#REF!,#REF!,#REF!,SPD!H39,#REF!,#REF!,#REF!)</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CHOOSE($B$3,#REF!,#REF!,#REF!,#REF!,#REF!,#REF!,#REF!,#REF!,#REF!,#REF!,SPD!AR39,#REF!,#REF!,#REF!)</f>
        <v>0.24108815658046237</v>
      </c>
      <c r="AS39" s="476">
        <f>CHOOSE($B$3,#REF!,#REF!,#REF!,#REF!,#REF!,#REF!,#REF!,#REF!,#REF!,#REF!,SPD!AS39,#REF!,#REF!,#REF!)</f>
        <v>2.4612065973080414E-2</v>
      </c>
      <c r="AT39" s="476">
        <f>CHOOSE($B$3,#REF!,#REF!,#REF!,#REF!,#REF!,#REF!,#REF!,#REF!,#REF!,#REF!,SPD!AT39,#REF!,#REF!,#REF!)</f>
        <v>0.79143325914881901</v>
      </c>
      <c r="AU39" s="476">
        <f>CHOOSE($B$3,#REF!,#REF!,#REF!,#REF!,#REF!,#REF!,#REF!,#REF!,#REF!,#REF!,SPD!AU39,#REF!,#REF!,#REF!)</f>
        <v>0.79143325914881901</v>
      </c>
      <c r="AV39" s="476">
        <f>CHOOSE($B$3,#REF!,#REF!,#REF!,#REF!,#REF!,#REF!,#REF!,#REF!,#REF!,#REF!,SPD!AV39,#REF!,#REF!,#REF!)</f>
        <v>0.79143325914881901</v>
      </c>
      <c r="AW39" s="184"/>
    </row>
    <row r="40" spans="1:50" ht="16">
      <c r="A40" s="82"/>
      <c r="B40" s="82"/>
      <c r="C40" s="82"/>
      <c r="D40" s="82"/>
      <c r="E40" s="82" t="str">
        <f>CHOOSE($B$3,#REF!,#REF!,#REF!,#REF!,#REF!,#REF!,#REF!,#REF!,#REF!,#REF!,SPD!E40,#REF!,#REF!,#REF!)</f>
        <v>Cyber Resilience OT baseline</v>
      </c>
      <c r="F40" s="82"/>
      <c r="G40" s="82" t="s">
        <v>101</v>
      </c>
      <c r="H40" s="82" t="str">
        <f>CHOOSE($B$3,#REF!,#REF!,#REF!,#REF!,#REF!,#REF!,#REF!,#REF!,#REF!,#REF!,SPD!H40,#REF!,#REF!,#REF!)</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CHOOSE($B$3,#REF!,#REF!,#REF!,#REF!,#REF!,#REF!,#REF!,#REF!,#REF!,#REF!,SPD!AR40,#REF!,#REF!,#REF!)</f>
        <v>1.87</v>
      </c>
      <c r="AS40" s="476">
        <f>CHOOSE($B$3,#REF!,#REF!,#REF!,#REF!,#REF!,#REF!,#REF!,#REF!,#REF!,#REF!,SPD!AS40,#REF!,#REF!,#REF!)</f>
        <v>1.0900000000000001</v>
      </c>
      <c r="AT40" s="476">
        <f>CHOOSE($B$3,#REF!,#REF!,#REF!,#REF!,#REF!,#REF!,#REF!,#REF!,#REF!,#REF!,SPD!AT40,#REF!,#REF!,#REF!)</f>
        <v>1.1399999999999999</v>
      </c>
      <c r="AU40" s="476">
        <f>CHOOSE($B$3,#REF!,#REF!,#REF!,#REF!,#REF!,#REF!,#REF!,#REF!,#REF!,#REF!,SPD!AU40,#REF!,#REF!,#REF!)</f>
        <v>0.04</v>
      </c>
      <c r="AV40" s="476">
        <f>CHOOSE($B$3,#REF!,#REF!,#REF!,#REF!,#REF!,#REF!,#REF!,#REF!,#REF!,#REF!,SPD!AV40,#REF!,#REF!,#REF!)</f>
        <v>0.04</v>
      </c>
      <c r="AW40" s="184"/>
    </row>
    <row r="41" spans="1:50" ht="16">
      <c r="A41" s="82"/>
      <c r="B41" s="82"/>
      <c r="C41" s="82"/>
      <c r="D41" s="82"/>
      <c r="E41" s="82" t="str">
        <f>CHOOSE($B$3,#REF!,#REF!,#REF!,#REF!,#REF!,#REF!,#REF!,#REF!,#REF!,#REF!,SPD!E41,#REF!,#REF!,#REF!)</f>
        <v>Cyber Resilience OT Re-opener</v>
      </c>
      <c r="F41" s="82"/>
      <c r="G41" s="82" t="s">
        <v>101</v>
      </c>
      <c r="H41" s="82" t="str">
        <f>CHOOSE($B$3,#REF!,#REF!,#REF!,#REF!,#REF!,#REF!,#REF!,#REF!,#REF!,#REF!,SPD!H41,#REF!,#REF!,#REF!)</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CHOOSE($B$3,#REF!,#REF!,#REF!,#REF!,#REF!,#REF!,#REF!,#REF!,#REF!,#REF!,SPD!AR41,#REF!,#REF!,#REF!)</f>
        <v>8.51</v>
      </c>
      <c r="AS41" s="476">
        <f>CHOOSE($B$3,#REF!,#REF!,#REF!,#REF!,#REF!,#REF!,#REF!,#REF!,#REF!,#REF!,SPD!AS41,#REF!,#REF!,#REF!)</f>
        <v>14.48</v>
      </c>
      <c r="AT41" s="476">
        <f>CHOOSE($B$3,#REF!,#REF!,#REF!,#REF!,#REF!,#REF!,#REF!,#REF!,#REF!,#REF!,SPD!AT41,#REF!,#REF!,#REF!)</f>
        <v>7.19</v>
      </c>
      <c r="AU41" s="476">
        <f>CHOOSE($B$3,#REF!,#REF!,#REF!,#REF!,#REF!,#REF!,#REF!,#REF!,#REF!,#REF!,SPD!AU41,#REF!,#REF!,#REF!)</f>
        <v>12.875</v>
      </c>
      <c r="AV41" s="476">
        <f>CHOOSE($B$3,#REF!,#REF!,#REF!,#REF!,#REF!,#REF!,#REF!,#REF!,#REF!,#REF!,SPD!AV41,#REF!,#REF!,#REF!)</f>
        <v>24.535</v>
      </c>
      <c r="AW41" s="184"/>
    </row>
    <row r="42" spans="1:50" ht="16">
      <c r="A42" s="82"/>
      <c r="B42" s="82"/>
      <c r="C42" s="82"/>
      <c r="D42" s="82"/>
      <c r="E42" s="82" t="str">
        <f>CHOOSE($B$3,#REF!,#REF!,#REF!,#REF!,#REF!,#REF!,#REF!,#REF!,#REF!,#REF!,SPD!E42,#REF!,#REF!,#REF!)</f>
        <v>Cyber Resilience IT Re-opener</v>
      </c>
      <c r="F42" s="82"/>
      <c r="G42" s="82" t="s">
        <v>101</v>
      </c>
      <c r="H42" s="82" t="str">
        <f>CHOOSE($B$3,#REF!,#REF!,#REF!,#REF!,#REF!,#REF!,#REF!,#REF!,#REF!,#REF!,SPD!H42,#REF!,#REF!,#REF!)</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CHOOSE($B$3,#REF!,#REF!,#REF!,#REF!,#REF!,#REF!,#REF!,#REF!,#REF!,#REF!,SPD!AR42,#REF!,#REF!,#REF!)</f>
        <v>3.2</v>
      </c>
      <c r="AS42" s="476">
        <f>CHOOSE($B$3,#REF!,#REF!,#REF!,#REF!,#REF!,#REF!,#REF!,#REF!,#REF!,#REF!,SPD!AS42,#REF!,#REF!,#REF!)</f>
        <v>2.89</v>
      </c>
      <c r="AT42" s="476">
        <f>CHOOSE($B$3,#REF!,#REF!,#REF!,#REF!,#REF!,#REF!,#REF!,#REF!,#REF!,#REF!,SPD!AT42,#REF!,#REF!,#REF!)</f>
        <v>2.83</v>
      </c>
      <c r="AU42" s="476">
        <f>CHOOSE($B$3,#REF!,#REF!,#REF!,#REF!,#REF!,#REF!,#REF!,#REF!,#REF!,#REF!,SPD!AU42,#REF!,#REF!,#REF!)</f>
        <v>2.56</v>
      </c>
      <c r="AV42" s="476">
        <f>CHOOSE($B$3,#REF!,#REF!,#REF!,#REF!,#REF!,#REF!,#REF!,#REF!,#REF!,#REF!,SPD!AV42,#REF!,#REF!,#REF!)</f>
        <v>3.05</v>
      </c>
      <c r="AW42" s="184"/>
    </row>
    <row r="43" spans="1:50" ht="16">
      <c r="A43" s="82"/>
      <c r="B43" s="82"/>
      <c r="C43" s="82"/>
      <c r="D43" s="82"/>
      <c r="E43" s="82" t="str">
        <f>CHOOSE($B$3,#REF!,#REF!,#REF!,#REF!,#REF!,#REF!,#REF!,#REF!,#REF!,#REF!,SPD!E43,#REF!,#REF!,#REF!)</f>
        <v>Off-gas Grid Mechanistic Price Control Deliverable</v>
      </c>
      <c r="F43" s="82"/>
      <c r="G43" s="82" t="s">
        <v>101</v>
      </c>
      <c r="H43" s="82" t="str">
        <f>CHOOSE($B$3,#REF!,#REF!,#REF!,#REF!,#REF!,#REF!,#REF!,#REF!,#REF!,#REF!,SPD!H43,#REF!,#REF!,#REF!)</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CHOOSE($B$3,#REF!,#REF!,#REF!,#REF!,#REF!,#REF!,#REF!,#REF!,#REF!,#REF!,SPD!AR43,#REF!,#REF!,#REF!)</f>
        <v>0</v>
      </c>
      <c r="AS43" s="476">
        <f>CHOOSE($B$3,#REF!,#REF!,#REF!,#REF!,#REF!,#REF!,#REF!,#REF!,#REF!,#REF!,SPD!AS43,#REF!,#REF!,#REF!)</f>
        <v>0</v>
      </c>
      <c r="AT43" s="476">
        <f>CHOOSE($B$3,#REF!,#REF!,#REF!,#REF!,#REF!,#REF!,#REF!,#REF!,#REF!,#REF!,SPD!AT43,#REF!,#REF!,#REF!)</f>
        <v>0</v>
      </c>
      <c r="AU43" s="476">
        <f>CHOOSE($B$3,#REF!,#REF!,#REF!,#REF!,#REF!,#REF!,#REF!,#REF!,#REF!,#REF!,SPD!AU43,#REF!,#REF!,#REF!)</f>
        <v>0</v>
      </c>
      <c r="AV43" s="476">
        <f>CHOOSE($B$3,#REF!,#REF!,#REF!,#REF!,#REF!,#REF!,#REF!,#REF!,#REF!,#REF!,SPD!AV43,#REF!,#REF!,#REF!)</f>
        <v>0</v>
      </c>
      <c r="AW43" s="184"/>
    </row>
    <row r="44" spans="1:50" ht="16">
      <c r="A44" s="82"/>
      <c r="B44" s="82"/>
      <c r="C44" s="82"/>
      <c r="D44" s="82"/>
      <c r="E44" s="82" t="s">
        <v>109</v>
      </c>
      <c r="F44" s="82"/>
      <c r="G44" s="82" t="s">
        <v>101</v>
      </c>
      <c r="H44" s="82" t="str">
        <f>CHOOSE($B$3,#REF!,#REF!,#REF!,#REF!,#REF!,#REF!,#REF!,#REF!,#REF!,#REF!,SPD!H44,#REF!,#REF!,#REF!)</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CHOOSE($B$3,#REF!,#REF!,#REF!,#REF!,#REF!,#REF!,#REF!,#REF!,#REF!,#REF!,SPD!AR44,#REF!,#REF!,#REF!)</f>
        <v>0</v>
      </c>
      <c r="AS44" s="476">
        <f>CHOOSE($B$3,#REF!,#REF!,#REF!,#REF!,#REF!,#REF!,#REF!,#REF!,#REF!,#REF!,SPD!AS44,#REF!,#REF!,#REF!)</f>
        <v>0</v>
      </c>
      <c r="AT44" s="476">
        <f>CHOOSE($B$3,#REF!,#REF!,#REF!,#REF!,#REF!,#REF!,#REF!,#REF!,#REF!,#REF!,SPD!AT44,#REF!,#REF!,#REF!)</f>
        <v>0</v>
      </c>
      <c r="AU44" s="476">
        <f>CHOOSE($B$3,#REF!,#REF!,#REF!,#REF!,#REF!,#REF!,#REF!,#REF!,#REF!,#REF!,SPD!AU44,#REF!,#REF!,#REF!)</f>
        <v>0</v>
      </c>
      <c r="AV44" s="476">
        <f>CHOOSE($B$3,#REF!,#REF!,#REF!,#REF!,#REF!,#REF!,#REF!,#REF!,#REF!,#REF!,SPD!AV44,#REF!,#REF!,#REF!)</f>
        <v>0</v>
      </c>
      <c r="AW44" s="184"/>
    </row>
    <row r="45" spans="1:50" ht="16">
      <c r="A45" s="82"/>
      <c r="B45" s="82"/>
      <c r="C45" s="82"/>
      <c r="D45" s="82"/>
      <c r="E45" s="82" t="str">
        <f>CHOOSE($B$3,#REF!,#REF!,#REF!,#REF!,#REF!,#REF!,#REF!,#REF!,#REF!,#REF!,SPD!E45,#REF!,#REF!,#REF!)</f>
        <v>West Coast of Cumbria Re-opener (ENWL only)</v>
      </c>
      <c r="F45" s="82"/>
      <c r="G45" s="82" t="s">
        <v>101</v>
      </c>
      <c r="H45" s="82" t="str">
        <f>CHOOSE($B$3,#REF!,#REF!,#REF!,#REF!,#REF!,#REF!,#REF!,#REF!,#REF!,#REF!,SPD!H45,#REF!,#REF!,#REF!)</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CHOOSE($B$3,#REF!,#REF!,#REF!,#REF!,#REF!,#REF!,#REF!,#REF!,#REF!,#REF!,SPD!AR45,#REF!,#REF!,#REF!)</f>
        <v>0</v>
      </c>
      <c r="AS45" s="476">
        <f>CHOOSE($B$3,#REF!,#REF!,#REF!,#REF!,#REF!,#REF!,#REF!,#REF!,#REF!,#REF!,SPD!AS45,#REF!,#REF!,#REF!)</f>
        <v>0</v>
      </c>
      <c r="AT45" s="476">
        <f>CHOOSE($B$3,#REF!,#REF!,#REF!,#REF!,#REF!,#REF!,#REF!,#REF!,#REF!,#REF!,SPD!AT45,#REF!,#REF!,#REF!)</f>
        <v>0</v>
      </c>
      <c r="AU45" s="476">
        <f>CHOOSE($B$3,#REF!,#REF!,#REF!,#REF!,#REF!,#REF!,#REF!,#REF!,#REF!,#REF!,SPD!AU45,#REF!,#REF!,#REF!)</f>
        <v>0</v>
      </c>
      <c r="AV45" s="476">
        <f>CHOOSE($B$3,#REF!,#REF!,#REF!,#REF!,#REF!,#REF!,#REF!,#REF!,#REF!,#REF!,SPD!AV45,#REF!,#REF!,#REF!)</f>
        <v>0</v>
      </c>
      <c r="AW45" s="184"/>
    </row>
    <row r="46" spans="1:50" ht="16">
      <c r="A46" s="82"/>
      <c r="B46" s="82"/>
      <c r="C46" s="82"/>
      <c r="D46" s="82"/>
      <c r="E46" s="82" t="str">
        <f>CHOOSE($B$3,#REF!,#REF!,#REF!,#REF!,#REF!,#REF!,#REF!,#REF!,#REF!,#REF!,SPD!E46,#REF!,#REF!,#REF!)</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CHOOSE($B$3,#REF!,#REF!,#REF!,#REF!,#REF!,#REF!,#REF!,#REF!,#REF!,#REF!,SPD!AR46,#REF!,#REF!,#REF!)</f>
        <v>0</v>
      </c>
      <c r="AS46" s="476">
        <f>CHOOSE($B$3,#REF!,#REF!,#REF!,#REF!,#REF!,#REF!,#REF!,#REF!,#REF!,#REF!,SPD!AS46,#REF!,#REF!,#REF!)</f>
        <v>0</v>
      </c>
      <c r="AT46" s="476">
        <f>CHOOSE($B$3,#REF!,#REF!,#REF!,#REF!,#REF!,#REF!,#REF!,#REF!,#REF!,#REF!,SPD!AT46,#REF!,#REF!,#REF!)</f>
        <v>0</v>
      </c>
      <c r="AU46" s="476">
        <f>CHOOSE($B$3,#REF!,#REF!,#REF!,#REF!,#REF!,#REF!,#REF!,#REF!,#REF!,#REF!,SPD!AU46,#REF!,#REF!,#REF!)</f>
        <v>0</v>
      </c>
      <c r="AV46" s="476">
        <f>CHOOSE($B$3,#REF!,#REF!,#REF!,#REF!,#REF!,#REF!,#REF!,#REF!,#REF!,#REF!,SPD!AV46,#REF!,#REF!,#REF!)</f>
        <v>0</v>
      </c>
      <c r="AW46" s="184"/>
    </row>
    <row r="47" spans="1:50" ht="16">
      <c r="A47" s="82"/>
      <c r="B47" s="82"/>
      <c r="C47" s="82"/>
      <c r="D47" s="82"/>
      <c r="E47" s="82" t="str">
        <f>CHOOSE($B$3,#REF!,#REF!,#REF!,#REF!,#REF!,#REF!,#REF!,#REF!,#REF!,#REF!,SPD!E47,#REF!,#REF!,#REF!)</f>
        <v>Shetland Extension Fixed Energy Costs Re-opener (SSEH only)</v>
      </c>
      <c r="F47" s="82"/>
      <c r="G47" s="82" t="s">
        <v>101</v>
      </c>
      <c r="H47" s="82" t="str">
        <f>CHOOSE($B$3,#REF!,#REF!,#REF!,#REF!,#REF!,#REF!,#REF!,#REF!,#REF!,#REF!,SPD!H47,#REF!,#REF!,#REF!)</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CHOOSE($B$3,#REF!,#REF!,#REF!,#REF!,#REF!,#REF!,#REF!,#REF!,#REF!,#REF!,SPD!AR47,#REF!,#REF!,#REF!)</f>
        <v>0</v>
      </c>
      <c r="AS47" s="476">
        <f>CHOOSE($B$3,#REF!,#REF!,#REF!,#REF!,#REF!,#REF!,#REF!,#REF!,#REF!,#REF!,SPD!AS47,#REF!,#REF!,#REF!)</f>
        <v>0</v>
      </c>
      <c r="AT47" s="476">
        <f>CHOOSE($B$3,#REF!,#REF!,#REF!,#REF!,#REF!,#REF!,#REF!,#REF!,#REF!,#REF!,SPD!AT47,#REF!,#REF!,#REF!)</f>
        <v>0</v>
      </c>
      <c r="AU47" s="476">
        <f>CHOOSE($B$3,#REF!,#REF!,#REF!,#REF!,#REF!,#REF!,#REF!,#REF!,#REF!,#REF!,SPD!AU47,#REF!,#REF!,#REF!)</f>
        <v>0</v>
      </c>
      <c r="AV47" s="476">
        <f>CHOOSE($B$3,#REF!,#REF!,#REF!,#REF!,#REF!,#REF!,#REF!,#REF!,#REF!,#REF!,SPD!AV47,#REF!,#REF!,#REF!)</f>
        <v>0</v>
      </c>
      <c r="AW47" s="184"/>
    </row>
    <row r="48" spans="1:50" ht="16">
      <c r="A48" s="82"/>
      <c r="B48" s="82"/>
      <c r="C48" s="82"/>
      <c r="D48" s="82"/>
      <c r="E48" s="82" t="str">
        <f>CHOOSE($B$3,#REF!,#REF!,#REF!,#REF!,#REF!,#REF!,#REF!,#REF!,#REF!,#REF!,SPD!E48,#REF!,#REF!,#REF!)</f>
        <v>Hebrides and Orkney Re-opener (SSEH only)</v>
      </c>
      <c r="F48" s="82"/>
      <c r="G48" s="82" t="s">
        <v>101</v>
      </c>
      <c r="H48" s="82" t="str">
        <f>CHOOSE($B$3,#REF!,#REF!,#REF!,#REF!,#REF!,#REF!,#REF!,#REF!,#REF!,#REF!,SPD!H48,#REF!,#REF!,#REF!)</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CHOOSE($B$3,#REF!,#REF!,#REF!,#REF!,#REF!,#REF!,#REF!,#REF!,#REF!,#REF!,SPD!AR48,#REF!,#REF!,#REF!)</f>
        <v>0</v>
      </c>
      <c r="AS48" s="476">
        <f>CHOOSE($B$3,#REF!,#REF!,#REF!,#REF!,#REF!,#REF!,#REF!,#REF!,#REF!,#REF!,SPD!AS48,#REF!,#REF!,#REF!)</f>
        <v>0</v>
      </c>
      <c r="AT48" s="476">
        <f>CHOOSE($B$3,#REF!,#REF!,#REF!,#REF!,#REF!,#REF!,#REF!,#REF!,#REF!,#REF!,SPD!AT48,#REF!,#REF!,#REF!)</f>
        <v>0</v>
      </c>
      <c r="AU48" s="476">
        <f>CHOOSE($B$3,#REF!,#REF!,#REF!,#REF!,#REF!,#REF!,#REF!,#REF!,#REF!,#REF!,SPD!AU48,#REF!,#REF!,#REF!)</f>
        <v>0</v>
      </c>
      <c r="AV48" s="476">
        <f>CHOOSE($B$3,#REF!,#REF!,#REF!,#REF!,#REF!,#REF!,#REF!,#REF!,#REF!,#REF!,SPD!AV48,#REF!,#REF!,#REF!)</f>
        <v>0</v>
      </c>
      <c r="AW48" s="184"/>
    </row>
    <row r="49" spans="1:49" ht="16">
      <c r="A49" s="82"/>
      <c r="B49" s="82"/>
      <c r="C49" s="82"/>
      <c r="D49" s="82"/>
      <c r="E49" s="82" t="str">
        <f>CHOOSE($B$3,#REF!,#REF!,#REF!,#REF!,#REF!,#REF!,#REF!,#REF!,#REF!,#REF!,SPD!E49,#REF!,#REF!,#REF!)</f>
        <v>Smart Street Mechanistic Price Control Deliverable (ENWL only)</v>
      </c>
      <c r="F49" s="82"/>
      <c r="G49" s="82" t="s">
        <v>101</v>
      </c>
      <c r="H49" s="82" t="str">
        <f>CHOOSE($B$3,#REF!,#REF!,#REF!,#REF!,#REF!,#REF!,#REF!,#REF!,#REF!,#REF!,SPD!H49,#REF!,#REF!,#REF!)</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CHOOSE($B$3,#REF!,#REF!,#REF!,#REF!,#REF!,#REF!,#REF!,#REF!,#REF!,#REF!,SPD!AR49,#REF!,#REF!,#REF!)</f>
        <v>0</v>
      </c>
      <c r="AS49" s="476">
        <f>CHOOSE($B$3,#REF!,#REF!,#REF!,#REF!,#REF!,#REF!,#REF!,#REF!,#REF!,#REF!,SPD!AS49,#REF!,#REF!,#REF!)</f>
        <v>0</v>
      </c>
      <c r="AT49" s="476">
        <f>CHOOSE($B$3,#REF!,#REF!,#REF!,#REF!,#REF!,#REF!,#REF!,#REF!,#REF!,#REF!,SPD!AT49,#REF!,#REF!,#REF!)</f>
        <v>0</v>
      </c>
      <c r="AU49" s="476">
        <f>CHOOSE($B$3,#REF!,#REF!,#REF!,#REF!,#REF!,#REF!,#REF!,#REF!,#REF!,#REF!,SPD!AU49,#REF!,#REF!,#REF!)</f>
        <v>0</v>
      </c>
      <c r="AV49" s="476">
        <f>CHOOSE($B$3,#REF!,#REF!,#REF!,#REF!,#REF!,#REF!,#REF!,#REF!,#REF!,#REF!,SPD!AV49,#REF!,#REF!,#REF!)</f>
        <v>0</v>
      </c>
      <c r="AW49" s="184"/>
    </row>
    <row r="50" spans="1:49" ht="16">
      <c r="A50" s="82"/>
      <c r="B50" s="82"/>
      <c r="C50" s="82"/>
      <c r="D50" s="82"/>
      <c r="E50" s="82" t="str">
        <f>CHOOSE($B$3,#REF!,#REF!,#REF!,#REF!,#REF!,#REF!,#REF!,#REF!,#REF!,#REF!,SPD!E50,#REF!,#REF!,#REF!)</f>
        <v>Worst Served Customers</v>
      </c>
      <c r="F50" s="82"/>
      <c r="G50" s="82" t="s">
        <v>101</v>
      </c>
      <c r="H50" s="82" t="str">
        <f>CHOOSE($B$3,#REF!,#REF!,#REF!,#REF!,#REF!,#REF!,#REF!,#REF!,#REF!,#REF!,SPD!H50,#REF!,#REF!,#REF!)</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CHOOSE($B$3,#REF!,#REF!,#REF!,#REF!,#REF!,#REF!,#REF!,#REF!,#REF!,#REF!,SPD!AR50,#REF!,#REF!,#REF!)</f>
        <v>0.51492822278457073</v>
      </c>
      <c r="AS50" s="476">
        <f>CHOOSE($B$3,#REF!,#REF!,#REF!,#REF!,#REF!,#REF!,#REF!,#REF!,#REF!,#REF!,SPD!AS50,#REF!,#REF!,#REF!)</f>
        <v>0.53100380260168889</v>
      </c>
      <c r="AT50" s="476">
        <f>CHOOSE($B$3,#REF!,#REF!,#REF!,#REF!,#REF!,#REF!,#REF!,#REF!,#REF!,#REF!,SPD!AT50,#REF!,#REF!,#REF!)</f>
        <v>1.5813559915379136</v>
      </c>
      <c r="AU50" s="476">
        <f>CHOOSE($B$3,#REF!,#REF!,#REF!,#REF!,#REF!,#REF!,#REF!,#REF!,#REF!,#REF!,SPD!AU50,#REF!,#REF!,#REF!)</f>
        <v>1.5813559915379136</v>
      </c>
      <c r="AV50" s="476">
        <f>CHOOSE($B$3,#REF!,#REF!,#REF!,#REF!,#REF!,#REF!,#REF!,#REF!,#REF!,#REF!,SPD!AV50,#REF!,#REF!,#REF!)</f>
        <v>1.5813559915379136</v>
      </c>
      <c r="AW50" s="184"/>
    </row>
    <row r="51" spans="1:49" ht="16">
      <c r="A51" s="82"/>
      <c r="B51" s="82"/>
      <c r="C51" s="82"/>
      <c r="D51" s="82"/>
      <c r="E51" s="82" t="str">
        <f>CHOOSE($B$3,#REF!,#REF!,#REF!,#REF!,#REF!,#REF!,#REF!,#REF!,#REF!,#REF!,SPD!E51,#REF!,#REF!,#REF!)</f>
        <v>EV Optioneering Projects</v>
      </c>
      <c r="F51" s="82"/>
      <c r="G51" s="82" t="s">
        <v>101</v>
      </c>
      <c r="H51" s="82" t="str">
        <f>CHOOSE($B$3,#REF!,#REF!,#REF!,#REF!,#REF!,#REF!,#REF!,#REF!,#REF!,#REF!,SPD!H51,#REF!,#REF!,#REF!)</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CHOOSE($B$3,#REF!,#REF!,#REF!,#REF!,#REF!,#REF!,#REF!,#REF!,#REF!,#REF!,SPD!AR51,#REF!,#REF!,#REF!)</f>
        <v>0.17405126829873918</v>
      </c>
      <c r="AS51" s="476">
        <f>CHOOSE($B$3,#REF!,#REF!,#REF!,#REF!,#REF!,#REF!,#REF!,#REF!,#REF!,#REF!,SPD!AS51,#REF!,#REF!,#REF!)</f>
        <v>0.27462705114067132</v>
      </c>
      <c r="AT51" s="476">
        <f>CHOOSE($B$3,#REF!,#REF!,#REF!,#REF!,#REF!,#REF!,#REF!,#REF!,#REF!,#REF!,SPD!AT51,#REF!,#REF!,#REF!)</f>
        <v>0.54710722685352975</v>
      </c>
      <c r="AU51" s="476">
        <f>CHOOSE($B$3,#REF!,#REF!,#REF!,#REF!,#REF!,#REF!,#REF!,#REF!,#REF!,#REF!,SPD!AU51,#REF!,#REF!,#REF!)</f>
        <v>0.54710722685352975</v>
      </c>
      <c r="AV51" s="476">
        <f>CHOOSE($B$3,#REF!,#REF!,#REF!,#REF!,#REF!,#REF!,#REF!,#REF!,#REF!,#REF!,SPD!AV51,#REF!,#REF!,#REF!)</f>
        <v>0.54710722685352975</v>
      </c>
      <c r="AW51" s="184"/>
    </row>
    <row r="52" spans="1:49" ht="16">
      <c r="A52" s="82"/>
      <c r="B52" s="82"/>
      <c r="C52" s="82"/>
      <c r="D52" s="82"/>
      <c r="E52" s="82" t="str">
        <f>CHOOSE($B$3,#REF!,#REF!,#REF!,#REF!,#REF!,#REF!,#REF!,#REF!,#REF!,#REF!,SPD!E52,#REF!,#REF!,#REF!)</f>
        <v>Cyber Resilience IT baseline</v>
      </c>
      <c r="F52" s="82"/>
      <c r="G52" s="82" t="s">
        <v>101</v>
      </c>
      <c r="H52" s="82" t="str">
        <f>CHOOSE($B$3,#REF!,#REF!,#REF!,#REF!,#REF!,#REF!,#REF!,#REF!,#REF!,#REF!,SPD!H52,#REF!,#REF!,#REF!)</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CHOOSE($B$3,#REF!,#REF!,#REF!,#REF!,#REF!,#REF!,#REF!,#REF!,#REF!,#REF!,SPD!AR52,#REF!,#REF!,#REF!)</f>
        <v>0.25</v>
      </c>
      <c r="AS52" s="476">
        <f>CHOOSE($B$3,#REF!,#REF!,#REF!,#REF!,#REF!,#REF!,#REF!,#REF!,#REF!,#REF!,SPD!AS52,#REF!,#REF!,#REF!)</f>
        <v>0.19</v>
      </c>
      <c r="AT52" s="476">
        <f>CHOOSE($B$3,#REF!,#REF!,#REF!,#REF!,#REF!,#REF!,#REF!,#REF!,#REF!,#REF!,SPD!AT52,#REF!,#REF!,#REF!)</f>
        <v>0.2</v>
      </c>
      <c r="AU52" s="476">
        <f>CHOOSE($B$3,#REF!,#REF!,#REF!,#REF!,#REF!,#REF!,#REF!,#REF!,#REF!,#REF!,SPD!AU52,#REF!,#REF!,#REF!)</f>
        <v>0</v>
      </c>
      <c r="AV52" s="476">
        <f>CHOOSE($B$3,#REF!,#REF!,#REF!,#REF!,#REF!,#REF!,#REF!,#REF!,#REF!,#REF!,SPD!AV52,#REF!,#REF!,#REF!)</f>
        <v>0</v>
      </c>
      <c r="AW52" s="184"/>
    </row>
    <row r="53" spans="1:49" ht="16">
      <c r="A53" s="82"/>
      <c r="B53" s="82"/>
      <c r="C53" s="82"/>
      <c r="D53" s="82"/>
      <c r="E53" s="82" t="str">
        <f>CHOOSE($B$3,#REF!,#REF!,#REF!,#REF!,#REF!,#REF!,#REF!,#REF!,#REF!,#REF!,SPD!E53,#REF!,#REF!,#REF!)</f>
        <v>Wayleaves and Diversions Re-opener</v>
      </c>
      <c r="F53" s="82"/>
      <c r="G53" s="82" t="s">
        <v>101</v>
      </c>
      <c r="H53" s="82" t="str">
        <f>CHOOSE($B$3,#REF!,#REF!,#REF!,#REF!,#REF!,#REF!,#REF!,#REF!,#REF!,#REF!,SPD!H53,#REF!,#REF!,#REF!)</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CHOOSE($B$3,#REF!,#REF!,#REF!,#REF!,#REF!,#REF!,#REF!,#REF!,#REF!,#REF!,SPD!AR53,#REF!,#REF!,#REF!)</f>
        <v>0</v>
      </c>
      <c r="AS53" s="476">
        <f>CHOOSE($B$3,#REF!,#REF!,#REF!,#REF!,#REF!,#REF!,#REF!,#REF!,#REF!,#REF!,SPD!AS53,#REF!,#REF!,#REF!)</f>
        <v>0</v>
      </c>
      <c r="AT53" s="476">
        <f>CHOOSE($B$3,#REF!,#REF!,#REF!,#REF!,#REF!,#REF!,#REF!,#REF!,#REF!,#REF!,SPD!AT53,#REF!,#REF!,#REF!)</f>
        <v>0</v>
      </c>
      <c r="AU53" s="476">
        <f>CHOOSE($B$3,#REF!,#REF!,#REF!,#REF!,#REF!,#REF!,#REF!,#REF!,#REF!,#REF!,SPD!AU53,#REF!,#REF!,#REF!)</f>
        <v>2.9585704615345816</v>
      </c>
      <c r="AV53" s="476">
        <f>CHOOSE($B$3,#REF!,#REF!,#REF!,#REF!,#REF!,#REF!,#REF!,#REF!,#REF!,#REF!,SPD!AV53,#REF!,#REF!,#REF!)</f>
        <v>2.9585704615345816</v>
      </c>
      <c r="AW53" s="184"/>
    </row>
    <row r="54" spans="1:49" ht="16">
      <c r="A54" s="82"/>
      <c r="B54" s="82"/>
      <c r="C54" s="82"/>
      <c r="D54" s="82"/>
      <c r="E54" s="82" t="str">
        <f>CHOOSE($B$3,#REF!,#REF!,#REF!,#REF!,#REF!,#REF!,#REF!,#REF!,#REF!,#REF!,SPD!E54,#REF!,#REF!,#REF!)</f>
        <v>Indirects Scaler</v>
      </c>
      <c r="F54" s="82"/>
      <c r="G54" s="82" t="s">
        <v>101</v>
      </c>
      <c r="H54" s="82" t="str">
        <f>CHOOSE($B$3,#REF!,#REF!,#REF!,#REF!,#REF!,#REF!,#REF!,#REF!,#REF!,#REF!,SPD!H54,#REF!,#REF!,#REF!)</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CHOOSE($B$3,#REF!,#REF!,#REF!,#REF!,#REF!,#REF!,#REF!,#REF!,#REF!,#REF!,SPD!AR54,#REF!,#REF!,#REF!)</f>
        <v>2.3606244545285269</v>
      </c>
      <c r="AS54" s="476">
        <f>CHOOSE($B$3,#REF!,#REF!,#REF!,#REF!,#REF!,#REF!,#REF!,#REF!,#REF!,#REF!,SPD!AS54,#REF!,#REF!,#REF!)</f>
        <v>2.0850908266335693</v>
      </c>
      <c r="AT54" s="476">
        <f>CHOOSE($B$3,#REF!,#REF!,#REF!,#REF!,#REF!,#REF!,#REF!,#REF!,#REF!,#REF!,SPD!AT54,#REF!,#REF!,#REF!)</f>
        <v>5.6080014112151222</v>
      </c>
      <c r="AU54" s="476">
        <f>CHOOSE($B$3,#REF!,#REF!,#REF!,#REF!,#REF!,#REF!,#REF!,#REF!,#REF!,#REF!,SPD!AU54,#REF!,#REF!,#REF!)</f>
        <v>5.6080014112151222</v>
      </c>
      <c r="AV54" s="476">
        <f>CHOOSE($B$3,#REF!,#REF!,#REF!,#REF!,#REF!,#REF!,#REF!,#REF!,#REF!,#REF!,SPD!AV54,#REF!,#REF!,#REF!)</f>
        <v>5.764177815123797</v>
      </c>
      <c r="AW54" s="184"/>
    </row>
    <row r="55" spans="1:49" ht="16">
      <c r="A55" s="82"/>
      <c r="B55" s="82"/>
      <c r="C55" s="82"/>
      <c r="D55" s="82"/>
      <c r="E55" s="182" t="str">
        <f>CHOOSE($B$3,#REF!,#REF!,#REF!,#REF!,#REF!,#REF!,#REF!,#REF!,#REF!,#REF!,SPD!E55,#REF!,#REF!,#REF!)</f>
        <v>LineSIGHT Mechanistic Price Control Deliverable (ENWL only)</v>
      </c>
      <c r="F55" s="82"/>
      <c r="G55" s="82" t="s">
        <v>101</v>
      </c>
      <c r="H55" s="82" t="str">
        <f>CHOOSE($B$3,#REF!,#REF!,#REF!,#REF!,#REF!,#REF!,#REF!,#REF!,#REF!,#REF!,SPD!H55,#REF!,#REF!,#REF!)</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CHOOSE($B$3,#REF!,#REF!,#REF!,#REF!,#REF!,#REF!,#REF!,#REF!,#REF!,#REF!,SPD!AR55,#REF!,#REF!,#REF!)</f>
        <v>0</v>
      </c>
      <c r="AS55" s="476">
        <f>CHOOSE($B$3,#REF!,#REF!,#REF!,#REF!,#REF!,#REF!,#REF!,#REF!,#REF!,#REF!,SPD!AS55,#REF!,#REF!,#REF!)</f>
        <v>0</v>
      </c>
      <c r="AT55" s="476">
        <f>CHOOSE($B$3,#REF!,#REF!,#REF!,#REF!,#REF!,#REF!,#REF!,#REF!,#REF!,#REF!,SPD!AT55,#REF!,#REF!,#REF!)</f>
        <v>0</v>
      </c>
      <c r="AU55" s="476">
        <f>CHOOSE($B$3,#REF!,#REF!,#REF!,#REF!,#REF!,#REF!,#REF!,#REF!,#REF!,#REF!,SPD!AU55,#REF!,#REF!,#REF!)</f>
        <v>0</v>
      </c>
      <c r="AV55" s="476">
        <f>CHOOSE($B$3,#REF!,#REF!,#REF!,#REF!,#REF!,#REF!,#REF!,#REF!,#REF!,#REF!,SPD!AV55,#REF!,#REF!,#REF!)</f>
        <v>0</v>
      </c>
      <c r="AW55" s="184"/>
    </row>
    <row r="56" spans="1:49" ht="16">
      <c r="A56" s="82"/>
      <c r="B56" s="82"/>
      <c r="C56" s="82"/>
      <c r="D56" s="82"/>
      <c r="E56" s="182" t="str">
        <f>CHOOSE($B$3,#REF!,#REF!,#REF!,#REF!,#REF!,#REF!,#REF!,#REF!,#REF!,#REF!,SPD!E56,#REF!,#REF!,#REF!)</f>
        <v>New Depot (EMID, SWALES, SWEST and WMID only)</v>
      </c>
      <c r="F56" s="82"/>
      <c r="G56" s="82" t="s">
        <v>101</v>
      </c>
      <c r="H56" s="82" t="str">
        <f>CHOOSE($B$3,#REF!,#REF!,#REF!,#REF!,#REF!,#REF!,#REF!,#REF!,#REF!,#REF!,SPD!H56,#REF!,#REF!,#REF!)</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CHOOSE($B$3,#REF!,#REF!,#REF!,#REF!,#REF!,#REF!,#REF!,#REF!,#REF!,#REF!,SPD!AR56,#REF!,#REF!,#REF!)</f>
        <v>0</v>
      </c>
      <c r="AS56" s="476">
        <f>CHOOSE($B$3,#REF!,#REF!,#REF!,#REF!,#REF!,#REF!,#REF!,#REF!,#REF!,#REF!,SPD!AS56,#REF!,#REF!,#REF!)</f>
        <v>0</v>
      </c>
      <c r="AT56" s="476">
        <f>CHOOSE($B$3,#REF!,#REF!,#REF!,#REF!,#REF!,#REF!,#REF!,#REF!,#REF!,#REF!,SPD!AT56,#REF!,#REF!,#REF!)</f>
        <v>0</v>
      </c>
      <c r="AU56" s="476">
        <f>CHOOSE($B$3,#REF!,#REF!,#REF!,#REF!,#REF!,#REF!,#REF!,#REF!,#REF!,#REF!,SPD!AU56,#REF!,#REF!,#REF!)</f>
        <v>0</v>
      </c>
      <c r="AV56" s="476">
        <f>CHOOSE($B$3,#REF!,#REF!,#REF!,#REF!,#REF!,#REF!,#REF!,#REF!,#REF!,#REF!,SPD!AV56,#REF!,#REF!,#REF!)</f>
        <v>0</v>
      </c>
      <c r="AW56" s="184"/>
    </row>
    <row r="57" spans="1:49" ht="16">
      <c r="A57" s="82"/>
      <c r="B57" s="82"/>
      <c r="C57" s="82"/>
      <c r="D57" s="82"/>
      <c r="E57" s="182" t="str">
        <f>CHOOSE($B$3,#REF!,#REF!,#REF!,#REF!,#REF!,#REF!,#REF!,#REF!,#REF!,#REF!,SPD!E57,#REF!,#REF!,#REF!)</f>
        <v>New Control Room (SSES and SSEH only)</v>
      </c>
      <c r="F57" s="82"/>
      <c r="G57" s="82" t="s">
        <v>101</v>
      </c>
      <c r="H57" s="82" t="str">
        <f>CHOOSE($B$3,#REF!,#REF!,#REF!,#REF!,#REF!,#REF!,#REF!,#REF!,#REF!,#REF!,SPD!H57,#REF!,#REF!,#REF!)</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CHOOSE($B$3,#REF!,#REF!,#REF!,#REF!,#REF!,#REF!,#REF!,#REF!,#REF!,#REF!,SPD!AR57,#REF!,#REF!,#REF!)</f>
        <v>0</v>
      </c>
      <c r="AS57" s="476">
        <f>CHOOSE($B$3,#REF!,#REF!,#REF!,#REF!,#REF!,#REF!,#REF!,#REF!,#REF!,#REF!,SPD!AS57,#REF!,#REF!,#REF!)</f>
        <v>0</v>
      </c>
      <c r="AT57" s="476">
        <f>CHOOSE($B$3,#REF!,#REF!,#REF!,#REF!,#REF!,#REF!,#REF!,#REF!,#REF!,#REF!,SPD!AT57,#REF!,#REF!,#REF!)</f>
        <v>0</v>
      </c>
      <c r="AU57" s="476">
        <f>CHOOSE($B$3,#REF!,#REF!,#REF!,#REF!,#REF!,#REF!,#REF!,#REF!,#REF!,#REF!,SPD!AU57,#REF!,#REF!,#REF!)</f>
        <v>0</v>
      </c>
      <c r="AV57" s="476">
        <f>CHOOSE($B$3,#REF!,#REF!,#REF!,#REF!,#REF!,#REF!,#REF!,#REF!,#REF!,#REF!,SPD!AV57,#REF!,#REF!,#REF!)</f>
        <v>0</v>
      </c>
      <c r="AW57" s="184"/>
    </row>
    <row r="58" spans="1:49" ht="16">
      <c r="A58" s="82"/>
      <c r="B58" s="82"/>
      <c r="C58" s="82"/>
      <c r="D58" s="82"/>
      <c r="E58" s="182" t="str">
        <f>CHOOSE($B$3,#REF!,#REF!,#REF!,#REF!,#REF!,#REF!,#REF!,#REF!,#REF!,#REF!,SPD!E58,#REF!,#REF!,#REF!)</f>
        <v>Storm Arwen Re-opener</v>
      </c>
      <c r="F58" s="82"/>
      <c r="G58" s="82" t="s">
        <v>101</v>
      </c>
      <c r="H58" s="82" t="str">
        <f>CHOOSE($B$3,#REF!,#REF!,#REF!,#REF!,#REF!,#REF!,#REF!,#REF!,#REF!,#REF!,SPD!H58,#REF!,#REF!,#REF!)</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CHOOSE($B$3,#REF!,#REF!,#REF!,#REF!,#REF!,#REF!,#REF!,#REF!,#REF!,#REF!,SPD!AR58,#REF!,#REF!,#REF!)</f>
        <v>0</v>
      </c>
      <c r="AS58" s="476">
        <f>CHOOSE($B$3,#REF!,#REF!,#REF!,#REF!,#REF!,#REF!,#REF!,#REF!,#REF!,#REF!,SPD!AS58,#REF!,#REF!,#REF!)</f>
        <v>3.5123099999999998</v>
      </c>
      <c r="AT58" s="476">
        <f>CHOOSE($B$3,#REF!,#REF!,#REF!,#REF!,#REF!,#REF!,#REF!,#REF!,#REF!,#REF!,SPD!AT58,#REF!,#REF!,#REF!)</f>
        <v>2.661845</v>
      </c>
      <c r="AU58" s="476">
        <f>CHOOSE($B$3,#REF!,#REF!,#REF!,#REF!,#REF!,#REF!,#REF!,#REF!,#REF!,#REF!,SPD!AU58,#REF!,#REF!,#REF!)</f>
        <v>2.308405</v>
      </c>
      <c r="AV58" s="476">
        <f>CHOOSE($B$3,#REF!,#REF!,#REF!,#REF!,#REF!,#REF!,#REF!,#REF!,#REF!,#REF!,SPD!AV58,#REF!,#REF!,#REF!)</f>
        <v>2.3415400000000002</v>
      </c>
      <c r="AW58" s="184"/>
    </row>
    <row r="59" spans="1:49" ht="16">
      <c r="A59" s="82"/>
      <c r="B59" s="82"/>
      <c r="C59" s="82"/>
      <c r="D59" s="82"/>
      <c r="E59" s="182" t="str">
        <f>CHOOSE($B$3,#REF!,#REF!,#REF!,#REF!,#REF!,#REF!,#REF!,#REF!,#REF!,#REF!,SPD!E59,#REF!,#REF!,#REF!)</f>
        <v>High Value Projects Re-opener</v>
      </c>
      <c r="F59" s="82"/>
      <c r="G59" s="82" t="s">
        <v>101</v>
      </c>
      <c r="H59" s="82" t="str">
        <f>CHOOSE($B$3,#REF!,#REF!,#REF!,#REF!,#REF!,#REF!,#REF!,#REF!,#REF!,#REF!,SPD!H59,#REF!,#REF!,#REF!)</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CHOOSE($B$3,#REF!,#REF!,#REF!,#REF!,#REF!,#REF!,#REF!,#REF!,#REF!,#REF!,SPD!AR59,#REF!,#REF!,#REF!)</f>
        <v>0</v>
      </c>
      <c r="AS59" s="476">
        <f>CHOOSE($B$3,#REF!,#REF!,#REF!,#REF!,#REF!,#REF!,#REF!,#REF!,#REF!,#REF!,SPD!AS59,#REF!,#REF!,#REF!)</f>
        <v>0</v>
      </c>
      <c r="AT59" s="476">
        <f>CHOOSE($B$3,#REF!,#REF!,#REF!,#REF!,#REF!,#REF!,#REF!,#REF!,#REF!,#REF!,SPD!AT59,#REF!,#REF!,#REF!)</f>
        <v>0</v>
      </c>
      <c r="AU59" s="476">
        <f>CHOOSE($B$3,#REF!,#REF!,#REF!,#REF!,#REF!,#REF!,#REF!,#REF!,#REF!,#REF!,SPD!AU59,#REF!,#REF!,#REF!)</f>
        <v>0</v>
      </c>
      <c r="AV59" s="476">
        <f>CHOOSE($B$3,#REF!,#REF!,#REF!,#REF!,#REF!,#REF!,#REF!,#REF!,#REF!,#REF!,SPD!AV59,#REF!,#REF!,#REF!)</f>
        <v>0</v>
      </c>
      <c r="AW59" s="184"/>
    </row>
    <row r="60" spans="1:49" ht="16">
      <c r="A60" s="82"/>
      <c r="B60" s="82"/>
      <c r="C60" s="82"/>
      <c r="D60" s="82"/>
      <c r="E60" s="182" t="str">
        <f>CHOOSE($B$3,#REF!,#REF!,#REF!,#REF!,#REF!,#REF!,#REF!,#REF!,#REF!,#REF!,SPD!E60,#REF!,#REF!,#REF!)</f>
        <v>Strategic Investment</v>
      </c>
      <c r="F60" s="82"/>
      <c r="G60" s="82" t="s">
        <v>101</v>
      </c>
      <c r="H60" s="82" t="str">
        <f>CHOOSE($B$3,#REF!,#REF!,#REF!,#REF!,#REF!,#REF!,#REF!,#REF!,#REF!,#REF!,SPD!H60,#REF!,#REF!,#REF!)</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CHOOSE($B$3,#REF!,#REF!,#REF!,#REF!,#REF!,#REF!,#REF!,#REF!,#REF!,#REF!,SPD!AR60,#REF!,#REF!,#REF!)</f>
        <v>0</v>
      </c>
      <c r="AS60" s="476">
        <f>CHOOSE($B$3,#REF!,#REF!,#REF!,#REF!,#REF!,#REF!,#REF!,#REF!,#REF!,#REF!,SPD!AS60,#REF!,#REF!,#REF!)</f>
        <v>0</v>
      </c>
      <c r="AT60" s="476">
        <f>CHOOSE($B$3,#REF!,#REF!,#REF!,#REF!,#REF!,#REF!,#REF!,#REF!,#REF!,#REF!,SPD!AT60,#REF!,#REF!,#REF!)</f>
        <v>0</v>
      </c>
      <c r="AU60" s="476">
        <f>CHOOSE($B$3,#REF!,#REF!,#REF!,#REF!,#REF!,#REF!,#REF!,#REF!,#REF!,#REF!,SPD!AU60,#REF!,#REF!,#REF!)</f>
        <v>0</v>
      </c>
      <c r="AV60" s="476">
        <f>CHOOSE($B$3,#REF!,#REF!,#REF!,#REF!,#REF!,#REF!,#REF!,#REF!,#REF!,#REF!,SPD!AV60,#REF!,#REF!,#REF!)</f>
        <v>0</v>
      </c>
      <c r="AW60" s="184"/>
    </row>
    <row r="61" spans="1:49" ht="16">
      <c r="A61" s="82"/>
      <c r="B61" s="82"/>
      <c r="C61" s="82"/>
      <c r="D61" s="82"/>
      <c r="E61" s="182" t="str">
        <f>CHOOSE($B$3,#REF!,#REF!,#REF!,#REF!,#REF!,#REF!,#REF!,#REF!,#REF!,#REF!,SPD!E61,#REF!,#REF!,#REF!)</f>
        <v>Carry-over Green Recovery Scheme</v>
      </c>
      <c r="F61" s="82"/>
      <c r="G61" s="82" t="s">
        <v>101</v>
      </c>
      <c r="H61" s="82" t="str">
        <f>CHOOSE($B$3,#REF!,#REF!,#REF!,#REF!,#REF!,#REF!,#REF!,#REF!,#REF!,#REF!,SPD!H61,#REF!,#REF!,#REF!)</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CHOOSE($B$3,#REF!,#REF!,#REF!,#REF!,#REF!,#REF!,#REF!,#REF!,#REF!,#REF!,SPD!AR61,#REF!,#REF!,#REF!)</f>
        <v>3.6337127212547649</v>
      </c>
      <c r="AS61" s="476">
        <f>CHOOSE($B$3,#REF!,#REF!,#REF!,#REF!,#REF!,#REF!,#REF!,#REF!,#REF!,#REF!,SPD!AS61,#REF!,#REF!,#REF!)</f>
        <v>4.9495053386508427E-2</v>
      </c>
      <c r="AT61" s="476">
        <f>CHOOSE($B$3,#REF!,#REF!,#REF!,#REF!,#REF!,#REF!,#REF!,#REF!,#REF!,#REF!,SPD!AT61,#REF!,#REF!,#REF!)</f>
        <v>0</v>
      </c>
      <c r="AU61" s="476">
        <f>CHOOSE($B$3,#REF!,#REF!,#REF!,#REF!,#REF!,#REF!,#REF!,#REF!,#REF!,#REF!,SPD!AU61,#REF!,#REF!,#REF!)</f>
        <v>0</v>
      </c>
      <c r="AV61" s="476">
        <f>CHOOSE($B$3,#REF!,#REF!,#REF!,#REF!,#REF!,#REF!,#REF!,#REF!,#REF!,#REF!,SPD!AV61,#REF!,#REF!,#REF!)</f>
        <v>0</v>
      </c>
      <c r="AW61" s="184"/>
    </row>
    <row r="62" spans="1:49" ht="16">
      <c r="A62" s="82"/>
      <c r="B62" s="82"/>
      <c r="C62" s="82"/>
      <c r="D62" s="82"/>
      <c r="E62" s="182" t="str">
        <f>CHOOSE($B$3,#REF!,#REF!,#REF!,#REF!,#REF!,#REF!,#REF!,#REF!,#REF!,#REF!,SPD!E62,#REF!,#REF!,#REF!)</f>
        <v>1-in-20 Severe Weather Event</v>
      </c>
      <c r="F62" s="82"/>
      <c r="G62" s="82" t="s">
        <v>101</v>
      </c>
      <c r="H62" s="82" t="str">
        <f>CHOOSE($B$3,#REF!,#REF!,#REF!,#REF!,#REF!,#REF!,#REF!,#REF!,#REF!,#REF!,SPD!H62,#REF!,#REF!,#REF!)</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CHOOSE($B$3,#REF!,#REF!,#REF!,#REF!,#REF!,#REF!,#REF!,#REF!,#REF!,#REF!,SPD!AR62,#REF!,#REF!,#REF!)</f>
        <v>0</v>
      </c>
      <c r="AS62" s="476">
        <f>CHOOSE($B$3,#REF!,#REF!,#REF!,#REF!,#REF!,#REF!,#REF!,#REF!,#REF!,#REF!,SPD!AS62,#REF!,#REF!,#REF!)</f>
        <v>8.0709906704187411</v>
      </c>
      <c r="AT62" s="476">
        <f>CHOOSE($B$3,#REF!,#REF!,#REF!,#REF!,#REF!,#REF!,#REF!,#REF!,#REF!,#REF!,SPD!AT62,#REF!,#REF!,#REF!)</f>
        <v>0</v>
      </c>
      <c r="AU62" s="476">
        <f>CHOOSE($B$3,#REF!,#REF!,#REF!,#REF!,#REF!,#REF!,#REF!,#REF!,#REF!,#REF!,SPD!AU62,#REF!,#REF!,#REF!)</f>
        <v>0</v>
      </c>
      <c r="AV62" s="476">
        <f>CHOOSE($B$3,#REF!,#REF!,#REF!,#REF!,#REF!,#REF!,#REF!,#REF!,#REF!,#REF!,SPD!AV62,#REF!,#REF!,#REF!)</f>
        <v>0</v>
      </c>
      <c r="AW62" s="184"/>
    </row>
    <row r="63" spans="1:49" ht="16">
      <c r="A63" s="82"/>
      <c r="B63" s="82"/>
      <c r="C63" s="82"/>
      <c r="D63" s="82"/>
      <c r="E63" s="182" t="str">
        <f>CHOOSE($B$3,#REF!,#REF!,#REF!,#REF!,#REF!,#REF!,#REF!,#REF!,#REF!,#REF!,SPD!E63,#REF!,#REF!,#REF!)</f>
        <v>Net to Gross Load Related Expenditure</v>
      </c>
      <c r="F63" s="82"/>
      <c r="G63" s="82" t="s">
        <v>101</v>
      </c>
      <c r="H63" s="82" t="str">
        <f>CHOOSE($B$3,#REF!,#REF!,#REF!,#REF!,#REF!,#REF!,#REF!,#REF!,#REF!,#REF!,SPD!H63,#REF!,#REF!,#REF!)</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CHOOSE($B$3,#REF!,#REF!,#REF!,#REF!,#REF!,#REF!,#REF!,#REF!,#REF!,#REF!,SPD!AR63,#REF!,#REF!,#REF!)</f>
        <v>0</v>
      </c>
      <c r="AS63" s="476">
        <f>CHOOSE($B$3,#REF!,#REF!,#REF!,#REF!,#REF!,#REF!,#REF!,#REF!,#REF!,#REF!,SPD!AS63,#REF!,#REF!,#REF!)</f>
        <v>0</v>
      </c>
      <c r="AT63" s="476">
        <f>CHOOSE($B$3,#REF!,#REF!,#REF!,#REF!,#REF!,#REF!,#REF!,#REF!,#REF!,#REF!,SPD!AT63,#REF!,#REF!,#REF!)</f>
        <v>0</v>
      </c>
      <c r="AU63" s="476">
        <f>CHOOSE($B$3,#REF!,#REF!,#REF!,#REF!,#REF!,#REF!,#REF!,#REF!,#REF!,#REF!,SPD!AU63,#REF!,#REF!,#REF!)</f>
        <v>0</v>
      </c>
      <c r="AV63" s="476">
        <f>CHOOSE($B$3,#REF!,#REF!,#REF!,#REF!,#REF!,#REF!,#REF!,#REF!,#REF!,#REF!,SPD!AV63,#REF!,#REF!,#REF!)</f>
        <v>0</v>
      </c>
      <c r="AW63" s="184"/>
    </row>
    <row r="64" spans="1:49" ht="16">
      <c r="A64" s="82"/>
      <c r="B64" s="82"/>
      <c r="C64" s="82"/>
      <c r="D64" s="82"/>
      <c r="E64" s="182">
        <f>CHOOSE($B$3,#REF!,#REF!,#REF!,#REF!,#REF!,#REF!,#REF!,#REF!,#REF!,#REF!,SPD!E64,#REF!,#REF!,#REF!)</f>
        <v>0</v>
      </c>
      <c r="F64" s="82"/>
      <c r="G64" s="82" t="s">
        <v>101</v>
      </c>
      <c r="H64" s="82">
        <f>CHOOSE($B$3,#REF!,#REF!,#REF!,#REF!,#REF!,#REF!,#REF!,#REF!,#REF!,#REF!,SPD!H64,#REF!,#REF!,#REF!)</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CHOOSE($B$3,#REF!,#REF!,#REF!,#REF!,#REF!,#REF!,#REF!,#REF!,#REF!,#REF!,SPD!AR64,#REF!,#REF!,#REF!)</f>
        <v>0</v>
      </c>
      <c r="AS64" s="476">
        <f>CHOOSE($B$3,#REF!,#REF!,#REF!,#REF!,#REF!,#REF!,#REF!,#REF!,#REF!,#REF!,SPD!AS64,#REF!,#REF!,#REF!)</f>
        <v>0</v>
      </c>
      <c r="AT64" s="476">
        <f>CHOOSE($B$3,#REF!,#REF!,#REF!,#REF!,#REF!,#REF!,#REF!,#REF!,#REF!,#REF!,SPD!AT64,#REF!,#REF!,#REF!)</f>
        <v>0</v>
      </c>
      <c r="AU64" s="476">
        <f>CHOOSE($B$3,#REF!,#REF!,#REF!,#REF!,#REF!,#REF!,#REF!,#REF!,#REF!,#REF!,SPD!AU64,#REF!,#REF!,#REF!)</f>
        <v>0</v>
      </c>
      <c r="AV64" s="476">
        <f>CHOOSE($B$3,#REF!,#REF!,#REF!,#REF!,#REF!,#REF!,#REF!,#REF!,#REF!,#REF!,SPD!AV64,#REF!,#REF!,#REF!)</f>
        <v>0</v>
      </c>
      <c r="AW64" s="184"/>
    </row>
    <row r="65" spans="1:49" ht="16">
      <c r="A65" s="82"/>
      <c r="B65" s="82"/>
      <c r="C65" s="82"/>
      <c r="D65" s="82"/>
      <c r="E65" s="182">
        <f>CHOOSE($B$3,#REF!,#REF!,#REF!,#REF!,#REF!,#REF!,#REF!,#REF!,#REF!,#REF!,SPD!E65,#REF!,#REF!,#REF!)</f>
        <v>0</v>
      </c>
      <c r="F65" s="82"/>
      <c r="G65" s="82" t="s">
        <v>101</v>
      </c>
      <c r="H65" s="82">
        <f>CHOOSE($B$3,#REF!,#REF!,#REF!,#REF!,#REF!,#REF!,#REF!,#REF!,#REF!,#REF!,SPD!H65,#REF!,#REF!,#REF!)</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CHOOSE($B$3,#REF!,#REF!,#REF!,#REF!,#REF!,#REF!,#REF!,#REF!,#REF!,#REF!,SPD!AR65,#REF!,#REF!,#REF!)</f>
        <v>0</v>
      </c>
      <c r="AS65" s="476">
        <f>CHOOSE($B$3,#REF!,#REF!,#REF!,#REF!,#REF!,#REF!,#REF!,#REF!,#REF!,#REF!,SPD!AS65,#REF!,#REF!,#REF!)</f>
        <v>0</v>
      </c>
      <c r="AT65" s="476">
        <f>CHOOSE($B$3,#REF!,#REF!,#REF!,#REF!,#REF!,#REF!,#REF!,#REF!,#REF!,#REF!,SPD!AT65,#REF!,#REF!,#REF!)</f>
        <v>0</v>
      </c>
      <c r="AU65" s="476">
        <f>CHOOSE($B$3,#REF!,#REF!,#REF!,#REF!,#REF!,#REF!,#REF!,#REF!,#REF!,#REF!,SPD!AU65,#REF!,#REF!,#REF!)</f>
        <v>0</v>
      </c>
      <c r="AV65" s="476">
        <f>CHOOSE($B$3,#REF!,#REF!,#REF!,#REF!,#REF!,#REF!,#REF!,#REF!,#REF!,#REF!,SPD!AV65,#REF!,#REF!,#REF!)</f>
        <v>0</v>
      </c>
      <c r="AW65" s="184"/>
    </row>
    <row r="66" spans="1:49" ht="16">
      <c r="A66" s="82"/>
      <c r="B66" s="82"/>
      <c r="C66" s="82"/>
      <c r="D66" s="82"/>
      <c r="E66" s="182">
        <f>CHOOSE($B$3,#REF!,#REF!,#REF!,#REF!,#REF!,#REF!,#REF!,#REF!,#REF!,#REF!,SPD!E66,#REF!,#REF!,#REF!)</f>
        <v>0</v>
      </c>
      <c r="F66" s="82"/>
      <c r="G66" s="82" t="s">
        <v>101</v>
      </c>
      <c r="H66" s="82">
        <f>CHOOSE($B$3,#REF!,#REF!,#REF!,#REF!,#REF!,#REF!,#REF!,#REF!,#REF!,#REF!,SPD!H66,#REF!,#REF!,#REF!)</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CHOOSE($B$3,#REF!,#REF!,#REF!,#REF!,#REF!,#REF!,#REF!,#REF!,#REF!,#REF!,SPD!AR66,#REF!,#REF!,#REF!)</f>
        <v>0</v>
      </c>
      <c r="AS66" s="476">
        <f>CHOOSE($B$3,#REF!,#REF!,#REF!,#REF!,#REF!,#REF!,#REF!,#REF!,#REF!,#REF!,SPD!AS66,#REF!,#REF!,#REF!)</f>
        <v>0</v>
      </c>
      <c r="AT66" s="476">
        <f>CHOOSE($B$3,#REF!,#REF!,#REF!,#REF!,#REF!,#REF!,#REF!,#REF!,#REF!,#REF!,SPD!AT66,#REF!,#REF!,#REF!)</f>
        <v>0</v>
      </c>
      <c r="AU66" s="476">
        <f>CHOOSE($B$3,#REF!,#REF!,#REF!,#REF!,#REF!,#REF!,#REF!,#REF!,#REF!,#REF!,SPD!AU66,#REF!,#REF!,#REF!)</f>
        <v>0</v>
      </c>
      <c r="AV66" s="476">
        <f>CHOOSE($B$3,#REF!,#REF!,#REF!,#REF!,#REF!,#REF!,#REF!,#REF!,#REF!,#REF!,SPD!AV66,#REF!,#REF!,#REF!)</f>
        <v>0</v>
      </c>
      <c r="AW66" s="184"/>
    </row>
    <row r="67" spans="1:49" ht="16">
      <c r="A67" s="82"/>
      <c r="B67" s="82"/>
      <c r="C67" s="82"/>
      <c r="D67" s="82"/>
      <c r="E67" s="182">
        <f>CHOOSE($B$3,#REF!,#REF!,#REF!,#REF!,#REF!,#REF!,#REF!,#REF!,#REF!,#REF!,SPD!E67,#REF!,#REF!,#REF!)</f>
        <v>0</v>
      </c>
      <c r="F67" s="82"/>
      <c r="G67" s="82" t="s">
        <v>101</v>
      </c>
      <c r="H67" s="82">
        <f>CHOOSE($B$3,#REF!,#REF!,#REF!,#REF!,#REF!,#REF!,#REF!,#REF!,#REF!,#REF!,SPD!H67,#REF!,#REF!,#REF!)</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CHOOSE($B$3,#REF!,#REF!,#REF!,#REF!,#REF!,#REF!,#REF!,#REF!,#REF!,#REF!,SPD!AR67,#REF!,#REF!,#REF!)</f>
        <v>0</v>
      </c>
      <c r="AS67" s="476">
        <f>CHOOSE($B$3,#REF!,#REF!,#REF!,#REF!,#REF!,#REF!,#REF!,#REF!,#REF!,#REF!,SPD!AS67,#REF!,#REF!,#REF!)</f>
        <v>0</v>
      </c>
      <c r="AT67" s="476">
        <f>CHOOSE($B$3,#REF!,#REF!,#REF!,#REF!,#REF!,#REF!,#REF!,#REF!,#REF!,#REF!,SPD!AT67,#REF!,#REF!,#REF!)</f>
        <v>0</v>
      </c>
      <c r="AU67" s="476">
        <f>CHOOSE($B$3,#REF!,#REF!,#REF!,#REF!,#REF!,#REF!,#REF!,#REF!,#REF!,#REF!,SPD!AU67,#REF!,#REF!,#REF!)</f>
        <v>0</v>
      </c>
      <c r="AV67" s="476">
        <f>CHOOSE($B$3,#REF!,#REF!,#REF!,#REF!,#REF!,#REF!,#REF!,#REF!,#REF!,#REF!,SPD!AV67,#REF!,#REF!,#REF!)</f>
        <v>0</v>
      </c>
      <c r="AW67" s="184"/>
    </row>
    <row r="68" spans="1:49" ht="16">
      <c r="A68" s="82"/>
      <c r="B68" s="82"/>
      <c r="C68" s="82"/>
      <c r="D68" s="82"/>
      <c r="E68" s="182">
        <f>CHOOSE($B$3,#REF!,#REF!,#REF!,#REF!,#REF!,#REF!,#REF!,#REF!,#REF!,#REF!,SPD!E68,#REF!,#REF!,#REF!)</f>
        <v>0</v>
      </c>
      <c r="F68" s="82"/>
      <c r="G68" s="82" t="s">
        <v>101</v>
      </c>
      <c r="H68" s="82">
        <f>CHOOSE($B$3,#REF!,#REF!,#REF!,#REF!,#REF!,#REF!,#REF!,#REF!,#REF!,#REF!,SPD!H68,#REF!,#REF!,#REF!)</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CHOOSE($B$3,#REF!,#REF!,#REF!,#REF!,#REF!,#REF!,#REF!,#REF!,#REF!,#REF!,SPD!AR68,#REF!,#REF!,#REF!)</f>
        <v>0</v>
      </c>
      <c r="AS68" s="476">
        <f>CHOOSE($B$3,#REF!,#REF!,#REF!,#REF!,#REF!,#REF!,#REF!,#REF!,#REF!,#REF!,SPD!AS68,#REF!,#REF!,#REF!)</f>
        <v>0</v>
      </c>
      <c r="AT68" s="476">
        <f>CHOOSE($B$3,#REF!,#REF!,#REF!,#REF!,#REF!,#REF!,#REF!,#REF!,#REF!,#REF!,SPD!AT68,#REF!,#REF!,#REF!)</f>
        <v>0</v>
      </c>
      <c r="AU68" s="476">
        <f>CHOOSE($B$3,#REF!,#REF!,#REF!,#REF!,#REF!,#REF!,#REF!,#REF!,#REF!,#REF!,SPD!AU68,#REF!,#REF!,#REF!)</f>
        <v>0</v>
      </c>
      <c r="AV68" s="476">
        <f>CHOOSE($B$3,#REF!,#REF!,#REF!,#REF!,#REF!,#REF!,#REF!,#REF!,#REF!,#REF!,SPD!AV68,#REF!,#REF!,#REF!)</f>
        <v>0</v>
      </c>
      <c r="AW68" s="184"/>
    </row>
    <row r="69" spans="1:49" ht="16">
      <c r="A69" s="82"/>
      <c r="B69" s="82"/>
      <c r="C69" s="82"/>
      <c r="D69" s="82"/>
      <c r="E69" s="182">
        <f>CHOOSE($B$3,#REF!,#REF!,#REF!,#REF!,#REF!,#REF!,#REF!,#REF!,#REF!,#REF!,SPD!E69,#REF!,#REF!,#REF!)</f>
        <v>0</v>
      </c>
      <c r="F69" s="82"/>
      <c r="G69" s="82" t="s">
        <v>101</v>
      </c>
      <c r="H69" s="82">
        <f>CHOOSE($B$3,#REF!,#REF!,#REF!,#REF!,#REF!,#REF!,#REF!,#REF!,#REF!,#REF!,SPD!H69,#REF!,#REF!,#REF!)</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CHOOSE($B$3,#REF!,#REF!,#REF!,#REF!,#REF!,#REF!,#REF!,#REF!,#REF!,#REF!,SPD!AR69,#REF!,#REF!,#REF!)</f>
        <v>0</v>
      </c>
      <c r="AS69" s="476">
        <f>CHOOSE($B$3,#REF!,#REF!,#REF!,#REF!,#REF!,#REF!,#REF!,#REF!,#REF!,#REF!,SPD!AS69,#REF!,#REF!,#REF!)</f>
        <v>0</v>
      </c>
      <c r="AT69" s="476">
        <f>CHOOSE($B$3,#REF!,#REF!,#REF!,#REF!,#REF!,#REF!,#REF!,#REF!,#REF!,#REF!,SPD!AT69,#REF!,#REF!,#REF!)</f>
        <v>0</v>
      </c>
      <c r="AU69" s="476">
        <f>CHOOSE($B$3,#REF!,#REF!,#REF!,#REF!,#REF!,#REF!,#REF!,#REF!,#REF!,#REF!,SPD!AU69,#REF!,#REF!,#REF!)</f>
        <v>0</v>
      </c>
      <c r="AV69" s="476">
        <f>CHOOSE($B$3,#REF!,#REF!,#REF!,#REF!,#REF!,#REF!,#REF!,#REF!,#REF!,#REF!,SPD!AV69,#REF!,#REF!,#REF!)</f>
        <v>0</v>
      </c>
      <c r="AW69" s="184"/>
    </row>
    <row r="70" spans="1:49" ht="16">
      <c r="A70" s="82"/>
      <c r="B70" s="82"/>
      <c r="C70" s="82"/>
      <c r="D70" s="82"/>
      <c r="E70" s="182">
        <f>CHOOSE($B$3,#REF!,#REF!,#REF!,#REF!,#REF!,#REF!,#REF!,#REF!,#REF!,#REF!,SPD!E70,#REF!,#REF!,#REF!)</f>
        <v>0</v>
      </c>
      <c r="F70" s="82"/>
      <c r="G70" s="82" t="s">
        <v>101</v>
      </c>
      <c r="H70" s="82">
        <f>CHOOSE($B$3,#REF!,#REF!,#REF!,#REF!,#REF!,#REF!,#REF!,#REF!,#REF!,#REF!,SPD!H70,#REF!,#REF!,#REF!)</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CHOOSE($B$3,#REF!,#REF!,#REF!,#REF!,#REF!,#REF!,#REF!,#REF!,#REF!,#REF!,SPD!AR70,#REF!,#REF!,#REF!)</f>
        <v>0</v>
      </c>
      <c r="AS70" s="476">
        <f>CHOOSE($B$3,#REF!,#REF!,#REF!,#REF!,#REF!,#REF!,#REF!,#REF!,#REF!,#REF!,SPD!AS70,#REF!,#REF!,#REF!)</f>
        <v>0</v>
      </c>
      <c r="AT70" s="476">
        <f>CHOOSE($B$3,#REF!,#REF!,#REF!,#REF!,#REF!,#REF!,#REF!,#REF!,#REF!,#REF!,SPD!AT70,#REF!,#REF!,#REF!)</f>
        <v>0</v>
      </c>
      <c r="AU70" s="476">
        <f>CHOOSE($B$3,#REF!,#REF!,#REF!,#REF!,#REF!,#REF!,#REF!,#REF!,#REF!,#REF!,SPD!AU70,#REF!,#REF!,#REF!)</f>
        <v>0</v>
      </c>
      <c r="AV70" s="476">
        <f>CHOOSE($B$3,#REF!,#REF!,#REF!,#REF!,#REF!,#REF!,#REF!,#REF!,#REF!,#REF!,SPD!AV70,#REF!,#REF!,#REF!)</f>
        <v>0</v>
      </c>
      <c r="AW70" s="184"/>
    </row>
    <row r="71" spans="1:49" ht="16">
      <c r="A71" s="82"/>
      <c r="B71" s="82"/>
      <c r="C71" s="82"/>
      <c r="D71" s="82"/>
      <c r="E71" s="182">
        <f>CHOOSE($B$3,#REF!,#REF!,#REF!,#REF!,#REF!,#REF!,#REF!,#REF!,#REF!,#REF!,SPD!E71,#REF!,#REF!,#REF!)</f>
        <v>0</v>
      </c>
      <c r="F71" s="82"/>
      <c r="G71" s="82" t="s">
        <v>101</v>
      </c>
      <c r="H71" s="82">
        <f>CHOOSE($B$3,#REF!,#REF!,#REF!,#REF!,#REF!,#REF!,#REF!,#REF!,#REF!,#REF!,SPD!H71,#REF!,#REF!,#REF!)</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CHOOSE($B$3,#REF!,#REF!,#REF!,#REF!,#REF!,#REF!,#REF!,#REF!,#REF!,#REF!,SPD!AR71,#REF!,#REF!,#REF!)</f>
        <v>0</v>
      </c>
      <c r="AS71" s="476">
        <f>CHOOSE($B$3,#REF!,#REF!,#REF!,#REF!,#REF!,#REF!,#REF!,#REF!,#REF!,#REF!,SPD!AS71,#REF!,#REF!,#REF!)</f>
        <v>0</v>
      </c>
      <c r="AT71" s="476">
        <f>CHOOSE($B$3,#REF!,#REF!,#REF!,#REF!,#REF!,#REF!,#REF!,#REF!,#REF!,#REF!,SPD!AT71,#REF!,#REF!,#REF!)</f>
        <v>0</v>
      </c>
      <c r="AU71" s="476">
        <f>CHOOSE($B$3,#REF!,#REF!,#REF!,#REF!,#REF!,#REF!,#REF!,#REF!,#REF!,#REF!,SPD!AU71,#REF!,#REF!,#REF!)</f>
        <v>0</v>
      </c>
      <c r="AV71" s="476">
        <f>CHOOSE($B$3,#REF!,#REF!,#REF!,#REF!,#REF!,#REF!,#REF!,#REF!,#REF!,#REF!,SPD!AV71,#REF!,#REF!,#REF!)</f>
        <v>0</v>
      </c>
      <c r="AW71" s="184"/>
    </row>
    <row r="72" spans="1:49" ht="16">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0">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4" t="s">
        <v>112</v>
      </c>
      <c r="AK73" s="494"/>
      <c r="AL73" s="494" t="s">
        <v>113</v>
      </c>
      <c r="AM73" s="494" t="s">
        <v>114</v>
      </c>
      <c r="AN73" s="494" t="s">
        <v>17</v>
      </c>
      <c r="AO73" s="494" t="s">
        <v>115</v>
      </c>
      <c r="AP73" s="494" t="s">
        <v>116</v>
      </c>
      <c r="AQ73" s="495" t="s">
        <v>117</v>
      </c>
      <c r="AR73" s="496" t="s">
        <v>118</v>
      </c>
      <c r="AS73" s="494" t="s">
        <v>119</v>
      </c>
      <c r="AT73" s="494" t="s">
        <v>120</v>
      </c>
      <c r="AU73" s="494" t="s">
        <v>121</v>
      </c>
      <c r="AV73" s="494"/>
      <c r="AW73" s="184"/>
    </row>
    <row r="74" spans="1:49" ht="16">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CHOOSE($B$3,#REF!,#REF!,#REF!,#REF!,#REF!,#REF!,#REF!,#REF!,#REF!,#REF!,SPD!AJ74,#REF!,#REF!,#REF!)</f>
        <v>Other</v>
      </c>
      <c r="AK74" s="321"/>
      <c r="AL74" s="417">
        <f>CHOOSE($B$3,#REF!,#REF!,#REF!,#REF!,#REF!,#REF!,#REF!,#REF!,#REF!,#REF!,SPD!AL74,#REF!,#REF!,#REF!)</f>
        <v>0</v>
      </c>
      <c r="AM74" s="527">
        <f>CHOOSE($B$3,#REF!,#REF!,#REF!,#REF!,#REF!,#REF!,#REF!,#REF!,#REF!,#REF!,SPD!AM74,#REF!,#REF!,#REF!)</f>
        <v>1</v>
      </c>
      <c r="AN74" s="321"/>
      <c r="AO74" s="263">
        <f>CHOOSE($B$3,#REF!,#REF!,#REF!,#REF!,#REF!,#REF!,#REF!,#REF!,#REF!,#REF!,SPD!AO74,#REF!,#REF!,#REF!)</f>
        <v>8.9402661570373146E-2</v>
      </c>
      <c r="AP74" s="263">
        <f>CHOOSE($B$3,#REF!,#REF!,#REF!,#REF!,#REF!,#REF!,#REF!,#REF!,#REF!,#REF!,SPD!AP74,#REF!,#REF!,#REF!)</f>
        <v>0.27669921768786754</v>
      </c>
      <c r="AQ74" s="493">
        <f>CHOOSE($B$3,#REF!,#REF!,#REF!,#REF!,#REF!,#REF!,#REF!,#REF!,#REF!,#REF!,SPD!AQ74,#REF!,#REF!,#REF!)</f>
        <v>0.12274609426589289</v>
      </c>
      <c r="AR74" s="263">
        <f>CHOOSE($B$3,#REF!,#REF!,#REF!,#REF!,#REF!,#REF!,#REF!,#REF!,#REF!,#REF!,SPD!AR74,#REF!,#REF!,#REF!)</f>
        <v>9.5306904079365456E-2</v>
      </c>
      <c r="AS74" s="263">
        <f>CHOOSE($B$3,#REF!,#REF!,#REF!,#REF!,#REF!,#REF!,#REF!,#REF!,#REF!,#REF!,SPD!AS74,#REF!,#REF!,#REF!)</f>
        <v>1.482275619362808E-2</v>
      </c>
      <c r="AT74" s="263">
        <f>CHOOSE($B$3,#REF!,#REF!,#REF!,#REF!,#REF!,#REF!,#REF!,#REF!,#REF!,#REF!,SPD!AT74,#REF!,#REF!,#REF!)</f>
        <v>6.0580635638318524E-2</v>
      </c>
      <c r="AU74" s="263">
        <f>CHOOSE($B$3,#REF!,#REF!,#REF!,#REF!,#REF!,#REF!,#REF!,#REF!,#REF!,#REF!,SPD!AU74,#REF!,#REF!,#REF!)</f>
        <v>0.34044173056455429</v>
      </c>
      <c r="AV74" s="263"/>
      <c r="AW74" s="184"/>
    </row>
    <row r="75" spans="1:49" ht="16">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CHOOSE($B$3,#REF!,#REF!,#REF!,#REF!,#REF!,#REF!,#REF!,#REF!,#REF!,#REF!,SPD!AJ75,#REF!,#REF!,#REF!)</f>
        <v>Other</v>
      </c>
      <c r="AK75" s="321"/>
      <c r="AL75" s="417">
        <f>CHOOSE($B$3,#REF!,#REF!,#REF!,#REF!,#REF!,#REF!,#REF!,#REF!,#REF!,#REF!,SPD!AL75,#REF!,#REF!,#REF!)</f>
        <v>0</v>
      </c>
      <c r="AM75" s="527">
        <f>CHOOSE($B$3,#REF!,#REF!,#REF!,#REF!,#REF!,#REF!,#REF!,#REF!,#REF!,#REF!,SPD!AM75,#REF!,#REF!,#REF!)</f>
        <v>2</v>
      </c>
      <c r="AN75" s="321"/>
      <c r="AO75" s="263">
        <f>CHOOSE($B$3,#REF!,#REF!,#REF!,#REF!,#REF!,#REF!,#REF!,#REF!,#REF!,#REF!,SPD!AO75,#REF!,#REF!,#REF!)</f>
        <v>0.9022328996990755</v>
      </c>
      <c r="AP75" s="263">
        <f>CHOOSE($B$3,#REF!,#REF!,#REF!,#REF!,#REF!,#REF!,#REF!,#REF!,#REF!,#REF!,SPD!AP75,#REF!,#REF!,#REF!)</f>
        <v>9.7767100300924489E-2</v>
      </c>
      <c r="AQ75" s="493">
        <f>CHOOSE($B$3,#REF!,#REF!,#REF!,#REF!,#REF!,#REF!,#REF!,#REF!,#REF!,#REF!,SPD!AQ75,#REF!,#REF!,#REF!)</f>
        <v>0</v>
      </c>
      <c r="AR75" s="263">
        <f>CHOOSE($B$3,#REF!,#REF!,#REF!,#REF!,#REF!,#REF!,#REF!,#REF!,#REF!,#REF!,SPD!AR75,#REF!,#REF!,#REF!)</f>
        <v>0</v>
      </c>
      <c r="AS75" s="263">
        <f>CHOOSE($B$3,#REF!,#REF!,#REF!,#REF!,#REF!,#REF!,#REF!,#REF!,#REF!,#REF!,SPD!AS75,#REF!,#REF!,#REF!)</f>
        <v>0</v>
      </c>
      <c r="AT75" s="263">
        <f>CHOOSE($B$3,#REF!,#REF!,#REF!,#REF!,#REF!,#REF!,#REF!,#REF!,#REF!,#REF!,SPD!AT75,#REF!,#REF!,#REF!)</f>
        <v>0</v>
      </c>
      <c r="AU75" s="263">
        <f>CHOOSE($B$3,#REF!,#REF!,#REF!,#REF!,#REF!,#REF!,#REF!,#REF!,#REF!,#REF!,SPD!AU75,#REF!,#REF!,#REF!)</f>
        <v>0</v>
      </c>
      <c r="AV75" s="263"/>
      <c r="AW75" s="184"/>
    </row>
    <row r="76" spans="1:49" ht="16">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CHOOSE($B$3,#REF!,#REF!,#REF!,#REF!,#REF!,#REF!,#REF!,#REF!,#REF!,#REF!,SPD!AJ76,#REF!,#REF!,#REF!)</f>
        <v>Re-opener</v>
      </c>
      <c r="AK76" s="321"/>
      <c r="AL76" s="417" t="str">
        <f>CHOOSE($B$3,#REF!,#REF!,#REF!,#REF!,#REF!,#REF!,#REF!,#REF!,#REF!,#REF!,SPD!AL76,#REF!,#REF!,#REF!)</f>
        <v>RPEs Don't Apply</v>
      </c>
      <c r="AM76" s="527">
        <f>CHOOSE($B$3,#REF!,#REF!,#REF!,#REF!,#REF!,#REF!,#REF!,#REF!,#REF!,#REF!,SPD!AM76,#REF!,#REF!,#REF!)</f>
        <v>2</v>
      </c>
      <c r="AN76" s="321"/>
      <c r="AO76" s="410">
        <f>CHOOSE($B$3,#REF!,#REF!,#REF!,#REF!,#REF!,#REF!,#REF!,#REF!,#REF!,#REF!,SPD!AO76,#REF!,#REF!,#REF!)</f>
        <v>0</v>
      </c>
      <c r="AP76" s="410">
        <f>CHOOSE($B$3,#REF!,#REF!,#REF!,#REF!,#REF!,#REF!,#REF!,#REF!,#REF!,#REF!,SPD!AP76,#REF!,#REF!,#REF!)</f>
        <v>1</v>
      </c>
      <c r="AQ76" s="456">
        <f>CHOOSE($B$3,#REF!,#REF!,#REF!,#REF!,#REF!,#REF!,#REF!,#REF!,#REF!,#REF!,SPD!AQ76,#REF!,#REF!,#REF!)</f>
        <v>0</v>
      </c>
      <c r="AR76" s="410">
        <f>CHOOSE($B$3,#REF!,#REF!,#REF!,#REF!,#REF!,#REF!,#REF!,#REF!,#REF!,#REF!,SPD!AR76,#REF!,#REF!,#REF!)</f>
        <v>0</v>
      </c>
      <c r="AS76" s="410">
        <f>CHOOSE($B$3,#REF!,#REF!,#REF!,#REF!,#REF!,#REF!,#REF!,#REF!,#REF!,#REF!,SPD!AS76,#REF!,#REF!,#REF!)</f>
        <v>0</v>
      </c>
      <c r="AT76" s="410">
        <f>CHOOSE($B$3,#REF!,#REF!,#REF!,#REF!,#REF!,#REF!,#REF!,#REF!,#REF!,#REF!,SPD!AT76,#REF!,#REF!,#REF!)</f>
        <v>0</v>
      </c>
      <c r="AU76" s="410">
        <f>CHOOSE($B$3,#REF!,#REF!,#REF!,#REF!,#REF!,#REF!,#REF!,#REF!,#REF!,#REF!,SPD!AU76,#REF!,#REF!,#REF!)</f>
        <v>0</v>
      </c>
      <c r="AV76" s="263"/>
      <c r="AW76" s="184"/>
    </row>
    <row r="77" spans="1:49" ht="16">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CHOOSE($B$3,#REF!,#REF!,#REF!,#REF!,#REF!,#REF!,#REF!,#REF!,#REF!,#REF!,SPD!AJ77,#REF!,#REF!,#REF!)</f>
        <v>Re-opener</v>
      </c>
      <c r="AK77" s="321"/>
      <c r="AL77" s="417" t="str">
        <f>CHOOSE($B$3,#REF!,#REF!,#REF!,#REF!,#REF!,#REF!,#REF!,#REF!,#REF!,#REF!,SPD!AL77,#REF!,#REF!,#REF!)</f>
        <v>RPEs Don't Apply</v>
      </c>
      <c r="AM77" s="527">
        <f>CHOOSE($B$3,#REF!,#REF!,#REF!,#REF!,#REF!,#REF!,#REF!,#REF!,#REF!,#REF!,SPD!AM77,#REF!,#REF!,#REF!)</f>
        <v>2</v>
      </c>
      <c r="AN77" s="321"/>
      <c r="AO77" s="410">
        <f>CHOOSE($B$3,#REF!,#REF!,#REF!,#REF!,#REF!,#REF!,#REF!,#REF!,#REF!,#REF!,SPD!AO77,#REF!,#REF!,#REF!)</f>
        <v>0</v>
      </c>
      <c r="AP77" s="410">
        <f>CHOOSE($B$3,#REF!,#REF!,#REF!,#REF!,#REF!,#REF!,#REF!,#REF!,#REF!,#REF!,SPD!AP77,#REF!,#REF!,#REF!)</f>
        <v>0</v>
      </c>
      <c r="AQ77" s="456">
        <f>CHOOSE($B$3,#REF!,#REF!,#REF!,#REF!,#REF!,#REF!,#REF!,#REF!,#REF!,#REF!,SPD!AQ77,#REF!,#REF!,#REF!)</f>
        <v>0</v>
      </c>
      <c r="AR77" s="410">
        <f>CHOOSE($B$3,#REF!,#REF!,#REF!,#REF!,#REF!,#REF!,#REF!,#REF!,#REF!,#REF!,SPD!AR77,#REF!,#REF!,#REF!)</f>
        <v>0</v>
      </c>
      <c r="AS77" s="410">
        <f>CHOOSE($B$3,#REF!,#REF!,#REF!,#REF!,#REF!,#REF!,#REF!,#REF!,#REF!,#REF!,SPD!AS77,#REF!,#REF!,#REF!)</f>
        <v>0</v>
      </c>
      <c r="AT77" s="410">
        <f>CHOOSE($B$3,#REF!,#REF!,#REF!,#REF!,#REF!,#REF!,#REF!,#REF!,#REF!,#REF!,SPD!AT77,#REF!,#REF!,#REF!)</f>
        <v>0</v>
      </c>
      <c r="AU77" s="410">
        <f>CHOOSE($B$3,#REF!,#REF!,#REF!,#REF!,#REF!,#REF!,#REF!,#REF!,#REF!,#REF!,SPD!AU77,#REF!,#REF!,#REF!)</f>
        <v>1</v>
      </c>
      <c r="AV77" s="263"/>
      <c r="AW77" s="184"/>
    </row>
    <row r="78" spans="1:49" ht="16">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CHOOSE($B$3,#REF!,#REF!,#REF!,#REF!,#REF!,#REF!,#REF!,#REF!,#REF!,#REF!,SPD!AJ78,#REF!,#REF!,#REF!)</f>
        <v>Re-opener</v>
      </c>
      <c r="AK78" s="321"/>
      <c r="AL78" s="417" t="str">
        <f>CHOOSE($B$3,#REF!,#REF!,#REF!,#REF!,#REF!,#REF!,#REF!,#REF!,#REF!,#REF!,SPD!AL78,#REF!,#REF!,#REF!)</f>
        <v>RPEs Don't Apply</v>
      </c>
      <c r="AM78" s="527">
        <f>CHOOSE($B$3,#REF!,#REF!,#REF!,#REF!,#REF!,#REF!,#REF!,#REF!,#REF!,#REF!,SPD!AM78,#REF!,#REF!,#REF!)</f>
        <v>2</v>
      </c>
      <c r="AN78" s="321"/>
      <c r="AO78" s="410">
        <f>CHOOSE($B$3,#REF!,#REF!,#REF!,#REF!,#REF!,#REF!,#REF!,#REF!,#REF!,#REF!,SPD!AO78,#REF!,#REF!,#REF!)</f>
        <v>0</v>
      </c>
      <c r="AP78" s="410">
        <f>CHOOSE($B$3,#REF!,#REF!,#REF!,#REF!,#REF!,#REF!,#REF!,#REF!,#REF!,#REF!,SPD!AP78,#REF!,#REF!,#REF!)</f>
        <v>1</v>
      </c>
      <c r="AQ78" s="456">
        <f>CHOOSE($B$3,#REF!,#REF!,#REF!,#REF!,#REF!,#REF!,#REF!,#REF!,#REF!,#REF!,SPD!AQ78,#REF!,#REF!,#REF!)</f>
        <v>0</v>
      </c>
      <c r="AR78" s="410">
        <f>CHOOSE($B$3,#REF!,#REF!,#REF!,#REF!,#REF!,#REF!,#REF!,#REF!,#REF!,#REF!,SPD!AR78,#REF!,#REF!,#REF!)</f>
        <v>0</v>
      </c>
      <c r="AS78" s="410">
        <f>CHOOSE($B$3,#REF!,#REF!,#REF!,#REF!,#REF!,#REF!,#REF!,#REF!,#REF!,#REF!,SPD!AS78,#REF!,#REF!,#REF!)</f>
        <v>0</v>
      </c>
      <c r="AT78" s="410">
        <f>CHOOSE($B$3,#REF!,#REF!,#REF!,#REF!,#REF!,#REF!,#REF!,#REF!,#REF!,#REF!,SPD!AT78,#REF!,#REF!,#REF!)</f>
        <v>0</v>
      </c>
      <c r="AU78" s="410">
        <f>CHOOSE($B$3,#REF!,#REF!,#REF!,#REF!,#REF!,#REF!,#REF!,#REF!,#REF!,#REF!,SPD!AU78,#REF!,#REF!,#REF!)</f>
        <v>0</v>
      </c>
      <c r="AV78" s="263"/>
      <c r="AW78" s="184"/>
    </row>
    <row r="79" spans="1:49" ht="16">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CHOOSE($B$3,#REF!,#REF!,#REF!,#REF!,#REF!,#REF!,#REF!,#REF!,#REF!,#REF!,SPD!AJ79,#REF!,#REF!,#REF!)</f>
        <v>Re-opener</v>
      </c>
      <c r="AK79" s="321"/>
      <c r="AL79" s="417" t="str">
        <f>CHOOSE($B$3,#REF!,#REF!,#REF!,#REF!,#REF!,#REF!,#REF!,#REF!,#REF!,#REF!,SPD!AL79,#REF!,#REF!,#REF!)</f>
        <v>RPEs Don't Apply</v>
      </c>
      <c r="AM79" s="527">
        <f>CHOOSE($B$3,#REF!,#REF!,#REF!,#REF!,#REF!,#REF!,#REF!,#REF!,#REF!,#REF!,SPD!AM79,#REF!,#REF!,#REF!)</f>
        <v>2</v>
      </c>
      <c r="AN79" s="321"/>
      <c r="AO79" s="410">
        <f>CHOOSE($B$3,#REF!,#REF!,#REF!,#REF!,#REF!,#REF!,#REF!,#REF!,#REF!,#REF!,SPD!AO79,#REF!,#REF!,#REF!)</f>
        <v>1</v>
      </c>
      <c r="AP79" s="410">
        <f>CHOOSE($B$3,#REF!,#REF!,#REF!,#REF!,#REF!,#REF!,#REF!,#REF!,#REF!,#REF!,SPD!AP79,#REF!,#REF!,#REF!)</f>
        <v>0</v>
      </c>
      <c r="AQ79" s="456">
        <f>CHOOSE($B$3,#REF!,#REF!,#REF!,#REF!,#REF!,#REF!,#REF!,#REF!,#REF!,#REF!,SPD!AQ79,#REF!,#REF!,#REF!)</f>
        <v>0</v>
      </c>
      <c r="AR79" s="410">
        <f>CHOOSE($B$3,#REF!,#REF!,#REF!,#REF!,#REF!,#REF!,#REF!,#REF!,#REF!,#REF!,SPD!AR79,#REF!,#REF!,#REF!)</f>
        <v>0</v>
      </c>
      <c r="AS79" s="410">
        <f>CHOOSE($B$3,#REF!,#REF!,#REF!,#REF!,#REF!,#REF!,#REF!,#REF!,#REF!,#REF!,SPD!AS79,#REF!,#REF!,#REF!)</f>
        <v>0</v>
      </c>
      <c r="AT79" s="410">
        <f>CHOOSE($B$3,#REF!,#REF!,#REF!,#REF!,#REF!,#REF!,#REF!,#REF!,#REF!,#REF!,SPD!AT79,#REF!,#REF!,#REF!)</f>
        <v>0</v>
      </c>
      <c r="AU79" s="410">
        <f>CHOOSE($B$3,#REF!,#REF!,#REF!,#REF!,#REF!,#REF!,#REF!,#REF!,#REF!,#REF!,SPD!AU79,#REF!,#REF!,#REF!)</f>
        <v>0</v>
      </c>
      <c r="AV79" s="263"/>
      <c r="AW79" s="184"/>
    </row>
    <row r="80" spans="1:49" ht="16">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CHOOSE($B$3,#REF!,#REF!,#REF!,#REF!,#REF!,#REF!,#REF!,#REF!,#REF!,#REF!,SPD!AJ80,#REF!,#REF!,#REF!)</f>
        <v>Re-opener</v>
      </c>
      <c r="AK80" s="321"/>
      <c r="AL80" s="417" t="str">
        <f>CHOOSE($B$3,#REF!,#REF!,#REF!,#REF!,#REF!,#REF!,#REF!,#REF!,#REF!,#REF!,SPD!AL80,#REF!,#REF!,#REF!)</f>
        <v>RPEs Don't Apply</v>
      </c>
      <c r="AM80" s="527">
        <f>CHOOSE($B$3,#REF!,#REF!,#REF!,#REF!,#REF!,#REF!,#REF!,#REF!,#REF!,#REF!,SPD!AM80,#REF!,#REF!,#REF!)</f>
        <v>2</v>
      </c>
      <c r="AN80" s="321"/>
      <c r="AO80" s="410">
        <f>CHOOSE($B$3,#REF!,#REF!,#REF!,#REF!,#REF!,#REF!,#REF!,#REF!,#REF!,#REF!,SPD!AO80,#REF!,#REF!,#REF!)</f>
        <v>0</v>
      </c>
      <c r="AP80" s="410">
        <f>CHOOSE($B$3,#REF!,#REF!,#REF!,#REF!,#REF!,#REF!,#REF!,#REF!,#REF!,#REF!,SPD!AP80,#REF!,#REF!,#REF!)</f>
        <v>0</v>
      </c>
      <c r="AQ80" s="456">
        <f>CHOOSE($B$3,#REF!,#REF!,#REF!,#REF!,#REF!,#REF!,#REF!,#REF!,#REF!,#REF!,SPD!AQ80,#REF!,#REF!,#REF!)</f>
        <v>1</v>
      </c>
      <c r="AR80" s="410">
        <f>CHOOSE($B$3,#REF!,#REF!,#REF!,#REF!,#REF!,#REF!,#REF!,#REF!,#REF!,#REF!,SPD!AR80,#REF!,#REF!,#REF!)</f>
        <v>0</v>
      </c>
      <c r="AS80" s="410">
        <f>CHOOSE($B$3,#REF!,#REF!,#REF!,#REF!,#REF!,#REF!,#REF!,#REF!,#REF!,#REF!,SPD!AS80,#REF!,#REF!,#REF!)</f>
        <v>0</v>
      </c>
      <c r="AT80" s="410">
        <f>CHOOSE($B$3,#REF!,#REF!,#REF!,#REF!,#REF!,#REF!,#REF!,#REF!,#REF!,#REF!,SPD!AT80,#REF!,#REF!,#REF!)</f>
        <v>0</v>
      </c>
      <c r="AU80" s="410">
        <f>CHOOSE($B$3,#REF!,#REF!,#REF!,#REF!,#REF!,#REF!,#REF!,#REF!,#REF!,#REF!,SPD!AU80,#REF!,#REF!,#REF!)</f>
        <v>0</v>
      </c>
      <c r="AV80" s="263"/>
      <c r="AW80" s="184"/>
    </row>
    <row r="81" spans="1:49" ht="16">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CHOOSE($B$3,#REF!,#REF!,#REF!,#REF!,#REF!,#REF!,#REF!,#REF!,#REF!,#REF!,SPD!AJ81,#REF!,#REF!,#REF!)</f>
        <v>Re-opener</v>
      </c>
      <c r="AK81" s="321"/>
      <c r="AL81" s="417" t="str">
        <f>CHOOSE($B$3,#REF!,#REF!,#REF!,#REF!,#REF!,#REF!,#REF!,#REF!,#REF!,#REF!,SPD!AL81,#REF!,#REF!,#REF!)</f>
        <v>RPEs Don't Apply</v>
      </c>
      <c r="AM81" s="527">
        <f>CHOOSE($B$3,#REF!,#REF!,#REF!,#REF!,#REF!,#REF!,#REF!,#REF!,#REF!,#REF!,SPD!AM81,#REF!,#REF!,#REF!)</f>
        <v>2</v>
      </c>
      <c r="AN81" s="321"/>
      <c r="AO81" s="410">
        <f>CHOOSE($B$3,#REF!,#REF!,#REF!,#REF!,#REF!,#REF!,#REF!,#REF!,#REF!,#REF!,SPD!AO81,#REF!,#REF!,#REF!)</f>
        <v>0</v>
      </c>
      <c r="AP81" s="410">
        <f>CHOOSE($B$3,#REF!,#REF!,#REF!,#REF!,#REF!,#REF!,#REF!,#REF!,#REF!,#REF!,SPD!AP81,#REF!,#REF!,#REF!)</f>
        <v>1</v>
      </c>
      <c r="AQ81" s="456">
        <f>CHOOSE($B$3,#REF!,#REF!,#REF!,#REF!,#REF!,#REF!,#REF!,#REF!,#REF!,#REF!,SPD!AQ81,#REF!,#REF!,#REF!)</f>
        <v>0</v>
      </c>
      <c r="AR81" s="410">
        <f>CHOOSE($B$3,#REF!,#REF!,#REF!,#REF!,#REF!,#REF!,#REF!,#REF!,#REF!,#REF!,SPD!AR81,#REF!,#REF!,#REF!)</f>
        <v>0</v>
      </c>
      <c r="AS81" s="410">
        <f>CHOOSE($B$3,#REF!,#REF!,#REF!,#REF!,#REF!,#REF!,#REF!,#REF!,#REF!,#REF!,SPD!AS81,#REF!,#REF!,#REF!)</f>
        <v>0</v>
      </c>
      <c r="AT81" s="410">
        <f>CHOOSE($B$3,#REF!,#REF!,#REF!,#REF!,#REF!,#REF!,#REF!,#REF!,#REF!,#REF!,SPD!AT81,#REF!,#REF!,#REF!)</f>
        <v>0</v>
      </c>
      <c r="AU81" s="410">
        <f>CHOOSE($B$3,#REF!,#REF!,#REF!,#REF!,#REF!,#REF!,#REF!,#REF!,#REF!,#REF!,SPD!AU81,#REF!,#REF!,#REF!)</f>
        <v>0</v>
      </c>
      <c r="AV81" s="263"/>
      <c r="AW81" s="184"/>
    </row>
    <row r="82" spans="1:49" ht="16">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CHOOSE($B$3,#REF!,#REF!,#REF!,#REF!,#REF!,#REF!,#REF!,#REF!,#REF!,#REF!,SPD!AJ82,#REF!,#REF!,#REF!)</f>
        <v>Re-opener</v>
      </c>
      <c r="AK82" s="321"/>
      <c r="AL82" s="417" t="str">
        <f>CHOOSE($B$3,#REF!,#REF!,#REF!,#REF!,#REF!,#REF!,#REF!,#REF!,#REF!,#REF!,SPD!AL82,#REF!,#REF!,#REF!)</f>
        <v>RPEs Don't Apply</v>
      </c>
      <c r="AM82" s="527">
        <f>CHOOSE($B$3,#REF!,#REF!,#REF!,#REF!,#REF!,#REF!,#REF!,#REF!,#REF!,#REF!,SPD!AM82,#REF!,#REF!,#REF!)</f>
        <v>2</v>
      </c>
      <c r="AN82" s="321"/>
      <c r="AO82" s="410">
        <f>CHOOSE($B$3,#REF!,#REF!,#REF!,#REF!,#REF!,#REF!,#REF!,#REF!,#REF!,#REF!,SPD!AO82,#REF!,#REF!,#REF!)</f>
        <v>0</v>
      </c>
      <c r="AP82" s="410">
        <f>CHOOSE($B$3,#REF!,#REF!,#REF!,#REF!,#REF!,#REF!,#REF!,#REF!,#REF!,#REF!,SPD!AP82,#REF!,#REF!,#REF!)</f>
        <v>1</v>
      </c>
      <c r="AQ82" s="456">
        <f>CHOOSE($B$3,#REF!,#REF!,#REF!,#REF!,#REF!,#REF!,#REF!,#REF!,#REF!,#REF!,SPD!AQ82,#REF!,#REF!,#REF!)</f>
        <v>0</v>
      </c>
      <c r="AR82" s="410">
        <f>CHOOSE($B$3,#REF!,#REF!,#REF!,#REF!,#REF!,#REF!,#REF!,#REF!,#REF!,#REF!,SPD!AR82,#REF!,#REF!,#REF!)</f>
        <v>0</v>
      </c>
      <c r="AS82" s="410">
        <f>CHOOSE($B$3,#REF!,#REF!,#REF!,#REF!,#REF!,#REF!,#REF!,#REF!,#REF!,#REF!,SPD!AS82,#REF!,#REF!,#REF!)</f>
        <v>0</v>
      </c>
      <c r="AT82" s="410">
        <f>CHOOSE($B$3,#REF!,#REF!,#REF!,#REF!,#REF!,#REF!,#REF!,#REF!,#REF!,#REF!,SPD!AT82,#REF!,#REF!,#REF!)</f>
        <v>0</v>
      </c>
      <c r="AU82" s="410">
        <f>CHOOSE($B$3,#REF!,#REF!,#REF!,#REF!,#REF!,#REF!,#REF!,#REF!,#REF!,#REF!,SPD!AU82,#REF!,#REF!,#REF!)</f>
        <v>0</v>
      </c>
      <c r="AV82" s="263"/>
      <c r="AW82" s="184"/>
    </row>
    <row r="83" spans="1:49" ht="16">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CHOOSE($B$3,#REF!,#REF!,#REF!,#REF!,#REF!,#REF!,#REF!,#REF!,#REF!,#REF!,SPD!AJ83,#REF!,#REF!,#REF!)</f>
        <v>PCD</v>
      </c>
      <c r="AK83" s="321"/>
      <c r="AL83" s="417" t="str">
        <f>CHOOSE($B$3,#REF!,#REF!,#REF!,#REF!,#REF!,#REF!,#REF!,#REF!,#REF!,#REF!,SPD!AL83,#REF!,#REF!,#REF!)</f>
        <v>RPEs Apply</v>
      </c>
      <c r="AM83" s="527">
        <f>CHOOSE($B$3,#REF!,#REF!,#REF!,#REF!,#REF!,#REF!,#REF!,#REF!,#REF!,#REF!,SPD!AM83,#REF!,#REF!,#REF!)</f>
        <v>1</v>
      </c>
      <c r="AN83" s="321"/>
      <c r="AO83" s="410">
        <f>CHOOSE($B$3,#REF!,#REF!,#REF!,#REF!,#REF!,#REF!,#REF!,#REF!,#REF!,#REF!,SPD!AO83,#REF!,#REF!,#REF!)</f>
        <v>0</v>
      </c>
      <c r="AP83" s="410">
        <f>CHOOSE($B$3,#REF!,#REF!,#REF!,#REF!,#REF!,#REF!,#REF!,#REF!,#REF!,#REF!,SPD!AP83,#REF!,#REF!,#REF!)</f>
        <v>1</v>
      </c>
      <c r="AQ83" s="456">
        <f>CHOOSE($B$3,#REF!,#REF!,#REF!,#REF!,#REF!,#REF!,#REF!,#REF!,#REF!,#REF!,SPD!AQ83,#REF!,#REF!,#REF!)</f>
        <v>0</v>
      </c>
      <c r="AR83" s="410">
        <f>CHOOSE($B$3,#REF!,#REF!,#REF!,#REF!,#REF!,#REF!,#REF!,#REF!,#REF!,#REF!,SPD!AR83,#REF!,#REF!,#REF!)</f>
        <v>0</v>
      </c>
      <c r="AS83" s="410">
        <f>CHOOSE($B$3,#REF!,#REF!,#REF!,#REF!,#REF!,#REF!,#REF!,#REF!,#REF!,#REF!,SPD!AS83,#REF!,#REF!,#REF!)</f>
        <v>0</v>
      </c>
      <c r="AT83" s="410">
        <f>CHOOSE($B$3,#REF!,#REF!,#REF!,#REF!,#REF!,#REF!,#REF!,#REF!,#REF!,#REF!,SPD!AT83,#REF!,#REF!,#REF!)</f>
        <v>0</v>
      </c>
      <c r="AU83" s="410">
        <f>CHOOSE($B$3,#REF!,#REF!,#REF!,#REF!,#REF!,#REF!,#REF!,#REF!,#REF!,#REF!,SPD!AU83,#REF!,#REF!,#REF!)</f>
        <v>0</v>
      </c>
      <c r="AV83" s="263"/>
      <c r="AW83" s="184"/>
    </row>
    <row r="84" spans="1:49" ht="16">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CHOOSE($B$3,#REF!,#REF!,#REF!,#REF!,#REF!,#REF!,#REF!,#REF!,#REF!,#REF!,SPD!AJ84,#REF!,#REF!,#REF!)</f>
        <v>Volume driver</v>
      </c>
      <c r="AK84" s="321"/>
      <c r="AL84" s="417" t="str">
        <f>CHOOSE($B$3,#REF!,#REF!,#REF!,#REF!,#REF!,#REF!,#REF!,#REF!,#REF!,#REF!,SPD!AL84,#REF!,#REF!,#REF!)</f>
        <v>RPEs Apply</v>
      </c>
      <c r="AM84" s="527">
        <f>CHOOSE($B$3,#REF!,#REF!,#REF!,#REF!,#REF!,#REF!,#REF!,#REF!,#REF!,#REF!,SPD!AM84,#REF!,#REF!,#REF!)</f>
        <v>2</v>
      </c>
      <c r="AN84" s="321"/>
      <c r="AO84" s="410">
        <f>CHOOSE($B$3,#REF!,#REF!,#REF!,#REF!,#REF!,#REF!,#REF!,#REF!,#REF!,#REF!,SPD!AO84,#REF!,#REF!,#REF!)</f>
        <v>1</v>
      </c>
      <c r="AP84" s="410">
        <f>CHOOSE($B$3,#REF!,#REF!,#REF!,#REF!,#REF!,#REF!,#REF!,#REF!,#REF!,#REF!,SPD!AP84,#REF!,#REF!,#REF!)</f>
        <v>0</v>
      </c>
      <c r="AQ84" s="456">
        <f>CHOOSE($B$3,#REF!,#REF!,#REF!,#REF!,#REF!,#REF!,#REF!,#REF!,#REF!,#REF!,SPD!AQ84,#REF!,#REF!,#REF!)</f>
        <v>0</v>
      </c>
      <c r="AR84" s="410">
        <f>CHOOSE($B$3,#REF!,#REF!,#REF!,#REF!,#REF!,#REF!,#REF!,#REF!,#REF!,#REF!,SPD!AR84,#REF!,#REF!,#REF!)</f>
        <v>0</v>
      </c>
      <c r="AS84" s="410">
        <f>CHOOSE($B$3,#REF!,#REF!,#REF!,#REF!,#REF!,#REF!,#REF!,#REF!,#REF!,#REF!,SPD!AS84,#REF!,#REF!,#REF!)</f>
        <v>0</v>
      </c>
      <c r="AT84" s="410">
        <f>CHOOSE($B$3,#REF!,#REF!,#REF!,#REF!,#REF!,#REF!,#REF!,#REF!,#REF!,#REF!,SPD!AT84,#REF!,#REF!,#REF!)</f>
        <v>0</v>
      </c>
      <c r="AU84" s="410">
        <f>CHOOSE($B$3,#REF!,#REF!,#REF!,#REF!,#REF!,#REF!,#REF!,#REF!,#REF!,#REF!,SPD!AU84,#REF!,#REF!,#REF!)</f>
        <v>0</v>
      </c>
      <c r="AV84" s="263"/>
      <c r="AW84" s="184"/>
    </row>
    <row r="85" spans="1:49" ht="16">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CHOOSE($B$3,#REF!,#REF!,#REF!,#REF!,#REF!,#REF!,#REF!,#REF!,#REF!,#REF!,SPD!AJ85,#REF!,#REF!,#REF!)</f>
        <v>Volume driver</v>
      </c>
      <c r="AK85" s="321"/>
      <c r="AL85" s="417" t="str">
        <f>CHOOSE($B$3,#REF!,#REF!,#REF!,#REF!,#REF!,#REF!,#REF!,#REF!,#REF!,#REF!,SPD!AL85,#REF!,#REF!,#REF!)</f>
        <v>RPEs Apply</v>
      </c>
      <c r="AM85" s="527">
        <f>CHOOSE($B$3,#REF!,#REF!,#REF!,#REF!,#REF!,#REF!,#REF!,#REF!,#REF!,#REF!,SPD!AM85,#REF!,#REF!,#REF!)</f>
        <v>2</v>
      </c>
      <c r="AN85" s="321"/>
      <c r="AO85" s="410">
        <f>CHOOSE($B$3,#REF!,#REF!,#REF!,#REF!,#REF!,#REF!,#REF!,#REF!,#REF!,#REF!,SPD!AO85,#REF!,#REF!,#REF!)</f>
        <v>1</v>
      </c>
      <c r="AP85" s="410">
        <f>CHOOSE($B$3,#REF!,#REF!,#REF!,#REF!,#REF!,#REF!,#REF!,#REF!,#REF!,#REF!,SPD!AP85,#REF!,#REF!,#REF!)</f>
        <v>0</v>
      </c>
      <c r="AQ85" s="456">
        <f>CHOOSE($B$3,#REF!,#REF!,#REF!,#REF!,#REF!,#REF!,#REF!,#REF!,#REF!,#REF!,SPD!AQ85,#REF!,#REF!,#REF!)</f>
        <v>0</v>
      </c>
      <c r="AR85" s="410">
        <f>CHOOSE($B$3,#REF!,#REF!,#REF!,#REF!,#REF!,#REF!,#REF!,#REF!,#REF!,#REF!,SPD!AR85,#REF!,#REF!,#REF!)</f>
        <v>0</v>
      </c>
      <c r="AS85" s="410">
        <f>CHOOSE($B$3,#REF!,#REF!,#REF!,#REF!,#REF!,#REF!,#REF!,#REF!,#REF!,#REF!,SPD!AS85,#REF!,#REF!,#REF!)</f>
        <v>0</v>
      </c>
      <c r="AT85" s="410">
        <f>CHOOSE($B$3,#REF!,#REF!,#REF!,#REF!,#REF!,#REF!,#REF!,#REF!,#REF!,#REF!,SPD!AT85,#REF!,#REF!,#REF!)</f>
        <v>0</v>
      </c>
      <c r="AU85" s="410">
        <f>CHOOSE($B$3,#REF!,#REF!,#REF!,#REF!,#REF!,#REF!,#REF!,#REF!,#REF!,#REF!,SPD!AU85,#REF!,#REF!,#REF!)</f>
        <v>0</v>
      </c>
      <c r="AV85" s="263"/>
      <c r="AW85" s="184"/>
    </row>
    <row r="86" spans="1:49" ht="16">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CHOOSE($B$3,#REF!,#REF!,#REF!,#REF!,#REF!,#REF!,#REF!,#REF!,#REF!,#REF!,SPD!AJ86,#REF!,#REF!,#REF!)</f>
        <v>Re-opener</v>
      </c>
      <c r="AK86" s="321"/>
      <c r="AL86" s="417" t="str">
        <f>CHOOSE($B$3,#REF!,#REF!,#REF!,#REF!,#REF!,#REF!,#REF!,#REF!,#REF!,#REF!,SPD!AL86,#REF!,#REF!,#REF!)</f>
        <v>RPEs Don't Apply</v>
      </c>
      <c r="AM86" s="527">
        <f>CHOOSE($B$3,#REF!,#REF!,#REF!,#REF!,#REF!,#REF!,#REF!,#REF!,#REF!,#REF!,SPD!AM86,#REF!,#REF!,#REF!)</f>
        <v>2</v>
      </c>
      <c r="AN86" s="321"/>
      <c r="AO86" s="410">
        <f>CHOOSE($B$3,#REF!,#REF!,#REF!,#REF!,#REF!,#REF!,#REF!,#REF!,#REF!,#REF!,SPD!AO86,#REF!,#REF!,#REF!)</f>
        <v>1</v>
      </c>
      <c r="AP86" s="410">
        <f>CHOOSE($B$3,#REF!,#REF!,#REF!,#REF!,#REF!,#REF!,#REF!,#REF!,#REF!,#REF!,SPD!AP86,#REF!,#REF!,#REF!)</f>
        <v>0</v>
      </c>
      <c r="AQ86" s="456">
        <f>CHOOSE($B$3,#REF!,#REF!,#REF!,#REF!,#REF!,#REF!,#REF!,#REF!,#REF!,#REF!,SPD!AQ86,#REF!,#REF!,#REF!)</f>
        <v>0</v>
      </c>
      <c r="AR86" s="410">
        <f>CHOOSE($B$3,#REF!,#REF!,#REF!,#REF!,#REF!,#REF!,#REF!,#REF!,#REF!,#REF!,SPD!AR86,#REF!,#REF!,#REF!)</f>
        <v>0</v>
      </c>
      <c r="AS86" s="410">
        <f>CHOOSE($B$3,#REF!,#REF!,#REF!,#REF!,#REF!,#REF!,#REF!,#REF!,#REF!,#REF!,SPD!AS86,#REF!,#REF!,#REF!)</f>
        <v>0</v>
      </c>
      <c r="AT86" s="410">
        <f>CHOOSE($B$3,#REF!,#REF!,#REF!,#REF!,#REF!,#REF!,#REF!,#REF!,#REF!,#REF!,SPD!AT86,#REF!,#REF!,#REF!)</f>
        <v>0</v>
      </c>
      <c r="AU86" s="410">
        <f>CHOOSE($B$3,#REF!,#REF!,#REF!,#REF!,#REF!,#REF!,#REF!,#REF!,#REF!,#REF!,SPD!AU86,#REF!,#REF!,#REF!)</f>
        <v>0</v>
      </c>
      <c r="AV86" s="263"/>
      <c r="AW86" s="184"/>
    </row>
    <row r="87" spans="1:49" ht="16">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CHOOSE($B$3,#REF!,#REF!,#REF!,#REF!,#REF!,#REF!,#REF!,#REF!,#REF!,#REF!,SPD!AJ87,#REF!,#REF!,#REF!)</f>
        <v>Re-opener</v>
      </c>
      <c r="AK87" s="321"/>
      <c r="AL87" s="417" t="str">
        <f>CHOOSE($B$3,#REF!,#REF!,#REF!,#REF!,#REF!,#REF!,#REF!,#REF!,#REF!,#REF!,SPD!AL87,#REF!,#REF!,#REF!)</f>
        <v>RPEs Don't Apply</v>
      </c>
      <c r="AM87" s="527">
        <f>CHOOSE($B$3,#REF!,#REF!,#REF!,#REF!,#REF!,#REF!,#REF!,#REF!,#REF!,#REF!,SPD!AM87,#REF!,#REF!,#REF!)</f>
        <v>2</v>
      </c>
      <c r="AN87" s="321"/>
      <c r="AO87" s="410">
        <f>CHOOSE($B$3,#REF!,#REF!,#REF!,#REF!,#REF!,#REF!,#REF!,#REF!,#REF!,#REF!,SPD!AO87,#REF!,#REF!,#REF!)</f>
        <v>0</v>
      </c>
      <c r="AP87" s="410">
        <f>CHOOSE($B$3,#REF!,#REF!,#REF!,#REF!,#REF!,#REF!,#REF!,#REF!,#REF!,#REF!,SPD!AP87,#REF!,#REF!,#REF!)</f>
        <v>0</v>
      </c>
      <c r="AQ87" s="456">
        <f>CHOOSE($B$3,#REF!,#REF!,#REF!,#REF!,#REF!,#REF!,#REF!,#REF!,#REF!,#REF!,SPD!AQ87,#REF!,#REF!,#REF!)</f>
        <v>0.5</v>
      </c>
      <c r="AR87" s="410">
        <f>CHOOSE($B$3,#REF!,#REF!,#REF!,#REF!,#REF!,#REF!,#REF!,#REF!,#REF!,#REF!,SPD!AR87,#REF!,#REF!,#REF!)</f>
        <v>0</v>
      </c>
      <c r="AS87" s="410">
        <f>CHOOSE($B$3,#REF!,#REF!,#REF!,#REF!,#REF!,#REF!,#REF!,#REF!,#REF!,#REF!,SPD!AS87,#REF!,#REF!,#REF!)</f>
        <v>0</v>
      </c>
      <c r="AT87" s="410">
        <f>CHOOSE($B$3,#REF!,#REF!,#REF!,#REF!,#REF!,#REF!,#REF!,#REF!,#REF!,#REF!,SPD!AT87,#REF!,#REF!,#REF!)</f>
        <v>0</v>
      </c>
      <c r="AU87" s="410">
        <f>CHOOSE($B$3,#REF!,#REF!,#REF!,#REF!,#REF!,#REF!,#REF!,#REF!,#REF!,#REF!,SPD!AU87,#REF!,#REF!,#REF!)</f>
        <v>0.5</v>
      </c>
      <c r="AV87" s="263"/>
      <c r="AW87" s="184"/>
    </row>
    <row r="88" spans="1:49" ht="16">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CHOOSE($B$3,#REF!,#REF!,#REF!,#REF!,#REF!,#REF!,#REF!,#REF!,#REF!,#REF!,SPD!AJ88,#REF!,#REF!,#REF!)</f>
        <v>Volume driver</v>
      </c>
      <c r="AK88" s="321"/>
      <c r="AL88" s="417" t="str">
        <f>CHOOSE($B$3,#REF!,#REF!,#REF!,#REF!,#REF!,#REF!,#REF!,#REF!,#REF!,#REF!,SPD!AL88,#REF!,#REF!,#REF!)</f>
        <v>RPEs Apply</v>
      </c>
      <c r="AM88" s="527">
        <f>CHOOSE($B$3,#REF!,#REF!,#REF!,#REF!,#REF!,#REF!,#REF!,#REF!,#REF!,#REF!,SPD!AM88,#REF!,#REF!,#REF!)</f>
        <v>2</v>
      </c>
      <c r="AN88" s="321"/>
      <c r="AO88" s="410">
        <f>CHOOSE($B$3,#REF!,#REF!,#REF!,#REF!,#REF!,#REF!,#REF!,#REF!,#REF!,#REF!,SPD!AO88,#REF!,#REF!,#REF!)</f>
        <v>0</v>
      </c>
      <c r="AP88" s="410">
        <f>CHOOSE($B$3,#REF!,#REF!,#REF!,#REF!,#REF!,#REF!,#REF!,#REF!,#REF!,#REF!,SPD!AP88,#REF!,#REF!,#REF!)</f>
        <v>1</v>
      </c>
      <c r="AQ88" s="456">
        <f>CHOOSE($B$3,#REF!,#REF!,#REF!,#REF!,#REF!,#REF!,#REF!,#REF!,#REF!,#REF!,SPD!AQ88,#REF!,#REF!,#REF!)</f>
        <v>0</v>
      </c>
      <c r="AR88" s="410">
        <f>CHOOSE($B$3,#REF!,#REF!,#REF!,#REF!,#REF!,#REF!,#REF!,#REF!,#REF!,#REF!,SPD!AR88,#REF!,#REF!,#REF!)</f>
        <v>0</v>
      </c>
      <c r="AS88" s="410">
        <f>CHOOSE($B$3,#REF!,#REF!,#REF!,#REF!,#REF!,#REF!,#REF!,#REF!,#REF!,#REF!,SPD!AS88,#REF!,#REF!,#REF!)</f>
        <v>0</v>
      </c>
      <c r="AT88" s="410">
        <f>CHOOSE($B$3,#REF!,#REF!,#REF!,#REF!,#REF!,#REF!,#REF!,#REF!,#REF!,#REF!,SPD!AT88,#REF!,#REF!,#REF!)</f>
        <v>0</v>
      </c>
      <c r="AU88" s="410">
        <f>CHOOSE($B$3,#REF!,#REF!,#REF!,#REF!,#REF!,#REF!,#REF!,#REF!,#REF!,#REF!,SPD!AU88,#REF!,#REF!,#REF!)</f>
        <v>0</v>
      </c>
      <c r="AV88" s="263"/>
      <c r="AW88" s="184"/>
    </row>
    <row r="89" spans="1:49" ht="16">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CHOOSE($B$3,#REF!,#REF!,#REF!,#REF!,#REF!,#REF!,#REF!,#REF!,#REF!,#REF!,SPD!AJ89,#REF!,#REF!,#REF!)</f>
        <v>UIOLI</v>
      </c>
      <c r="AK89" s="321"/>
      <c r="AL89" s="417" t="str">
        <f>CHOOSE($B$3,#REF!,#REF!,#REF!,#REF!,#REF!,#REF!,#REF!,#REF!,#REF!,#REF!,SPD!AL89,#REF!,#REF!,#REF!)</f>
        <v>RPEs Don't Apply</v>
      </c>
      <c r="AM89" s="527">
        <f>CHOOSE($B$3,#REF!,#REF!,#REF!,#REF!,#REF!,#REF!,#REF!,#REF!,#REF!,#REF!,SPD!AM89,#REF!,#REF!,#REF!)</f>
        <v>1</v>
      </c>
      <c r="AN89" s="321"/>
      <c r="AO89" s="410">
        <f>CHOOSE($B$3,#REF!,#REF!,#REF!,#REF!,#REF!,#REF!,#REF!,#REF!,#REF!,#REF!,SPD!AO89,#REF!,#REF!,#REF!)</f>
        <v>0</v>
      </c>
      <c r="AP89" s="410">
        <f>CHOOSE($B$3,#REF!,#REF!,#REF!,#REF!,#REF!,#REF!,#REF!,#REF!,#REF!,#REF!,SPD!AP89,#REF!,#REF!,#REF!)</f>
        <v>0</v>
      </c>
      <c r="AQ89" s="456">
        <f>CHOOSE($B$3,#REF!,#REF!,#REF!,#REF!,#REF!,#REF!,#REF!,#REF!,#REF!,#REF!,SPD!AQ89,#REF!,#REF!,#REF!)</f>
        <v>1</v>
      </c>
      <c r="AR89" s="410">
        <f>CHOOSE($B$3,#REF!,#REF!,#REF!,#REF!,#REF!,#REF!,#REF!,#REF!,#REF!,#REF!,SPD!AR89,#REF!,#REF!,#REF!)</f>
        <v>0</v>
      </c>
      <c r="AS89" s="410">
        <f>CHOOSE($B$3,#REF!,#REF!,#REF!,#REF!,#REF!,#REF!,#REF!,#REF!,#REF!,#REF!,SPD!AS89,#REF!,#REF!,#REF!)</f>
        <v>0</v>
      </c>
      <c r="AT89" s="410">
        <f>CHOOSE($B$3,#REF!,#REF!,#REF!,#REF!,#REF!,#REF!,#REF!,#REF!,#REF!,#REF!,SPD!AT89,#REF!,#REF!,#REF!)</f>
        <v>0</v>
      </c>
      <c r="AU89" s="410">
        <f>CHOOSE($B$3,#REF!,#REF!,#REF!,#REF!,#REF!,#REF!,#REF!,#REF!,#REF!,#REF!,SPD!AU89,#REF!,#REF!,#REF!)</f>
        <v>0</v>
      </c>
      <c r="AV89" s="263"/>
      <c r="AW89" s="184"/>
    </row>
    <row r="90" spans="1:49" ht="16">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CHOOSE($B$3,#REF!,#REF!,#REF!,#REF!,#REF!,#REF!,#REF!,#REF!,#REF!,#REF!,SPD!AJ90,#REF!,#REF!,#REF!)</f>
        <v>PCD</v>
      </c>
      <c r="AK90" s="321"/>
      <c r="AL90" s="417" t="str">
        <f>CHOOSE($B$3,#REF!,#REF!,#REF!,#REF!,#REF!,#REF!,#REF!,#REF!,#REF!,#REF!,SPD!AL90,#REF!,#REF!,#REF!)</f>
        <v>RPEs Apply</v>
      </c>
      <c r="AM90" s="527">
        <f>CHOOSE($B$3,#REF!,#REF!,#REF!,#REF!,#REF!,#REF!,#REF!,#REF!,#REF!,#REF!,SPD!AM90,#REF!,#REF!,#REF!)</f>
        <v>1</v>
      </c>
      <c r="AN90" s="321"/>
      <c r="AO90" s="410">
        <f>CHOOSE($B$3,#REF!,#REF!,#REF!,#REF!,#REF!,#REF!,#REF!,#REF!,#REF!,#REF!,SPD!AO90,#REF!,#REF!,#REF!)</f>
        <v>0</v>
      </c>
      <c r="AP90" s="410">
        <f>CHOOSE($B$3,#REF!,#REF!,#REF!,#REF!,#REF!,#REF!,#REF!,#REF!,#REF!,#REF!,SPD!AP90,#REF!,#REF!,#REF!)</f>
        <v>0</v>
      </c>
      <c r="AQ90" s="456">
        <f>CHOOSE($B$3,#REF!,#REF!,#REF!,#REF!,#REF!,#REF!,#REF!,#REF!,#REF!,#REF!,SPD!AQ90,#REF!,#REF!,#REF!)</f>
        <v>1</v>
      </c>
      <c r="AR90" s="410">
        <f>CHOOSE($B$3,#REF!,#REF!,#REF!,#REF!,#REF!,#REF!,#REF!,#REF!,#REF!,#REF!,SPD!AR90,#REF!,#REF!,#REF!)</f>
        <v>0</v>
      </c>
      <c r="AS90" s="410">
        <f>CHOOSE($B$3,#REF!,#REF!,#REF!,#REF!,#REF!,#REF!,#REF!,#REF!,#REF!,#REF!,SPD!AS90,#REF!,#REF!,#REF!)</f>
        <v>0</v>
      </c>
      <c r="AT90" s="410">
        <f>CHOOSE($B$3,#REF!,#REF!,#REF!,#REF!,#REF!,#REF!,#REF!,#REF!,#REF!,#REF!,SPD!AT90,#REF!,#REF!,#REF!)</f>
        <v>0</v>
      </c>
      <c r="AU90" s="410">
        <f>CHOOSE($B$3,#REF!,#REF!,#REF!,#REF!,#REF!,#REF!,#REF!,#REF!,#REF!,#REF!,SPD!AU90,#REF!,#REF!,#REF!)</f>
        <v>0</v>
      </c>
      <c r="AV90" s="263"/>
      <c r="AW90" s="184"/>
    </row>
    <row r="91" spans="1:49" ht="16">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CHOOSE($B$3,#REF!,#REF!,#REF!,#REF!,#REF!,#REF!,#REF!,#REF!,#REF!,#REF!,SPD!AJ91,#REF!,#REF!,#REF!)</f>
        <v>Re-opener</v>
      </c>
      <c r="AK91" s="321"/>
      <c r="AL91" s="417" t="str">
        <f>CHOOSE($B$3,#REF!,#REF!,#REF!,#REF!,#REF!,#REF!,#REF!,#REF!,#REF!,#REF!,SPD!AL91,#REF!,#REF!,#REF!)</f>
        <v>RPEs Don't Apply</v>
      </c>
      <c r="AM91" s="527">
        <f>CHOOSE($B$3,#REF!,#REF!,#REF!,#REF!,#REF!,#REF!,#REF!,#REF!,#REF!,#REF!,SPD!AM91,#REF!,#REF!,#REF!)</f>
        <v>2</v>
      </c>
      <c r="AN91" s="321"/>
      <c r="AO91" s="410">
        <f>CHOOSE($B$3,#REF!,#REF!,#REF!,#REF!,#REF!,#REF!,#REF!,#REF!,#REF!,#REF!,SPD!AO91,#REF!,#REF!,#REF!)</f>
        <v>0</v>
      </c>
      <c r="AP91" s="410">
        <f>CHOOSE($B$3,#REF!,#REF!,#REF!,#REF!,#REF!,#REF!,#REF!,#REF!,#REF!,#REF!,SPD!AP91,#REF!,#REF!,#REF!)</f>
        <v>0</v>
      </c>
      <c r="AQ91" s="456">
        <f>CHOOSE($B$3,#REF!,#REF!,#REF!,#REF!,#REF!,#REF!,#REF!,#REF!,#REF!,#REF!,SPD!AQ91,#REF!,#REF!,#REF!)</f>
        <v>1</v>
      </c>
      <c r="AR91" s="410">
        <f>CHOOSE($B$3,#REF!,#REF!,#REF!,#REF!,#REF!,#REF!,#REF!,#REF!,#REF!,#REF!,SPD!AR91,#REF!,#REF!,#REF!)</f>
        <v>0</v>
      </c>
      <c r="AS91" s="410">
        <f>CHOOSE($B$3,#REF!,#REF!,#REF!,#REF!,#REF!,#REF!,#REF!,#REF!,#REF!,#REF!,SPD!AS91,#REF!,#REF!,#REF!)</f>
        <v>0</v>
      </c>
      <c r="AT91" s="410">
        <f>CHOOSE($B$3,#REF!,#REF!,#REF!,#REF!,#REF!,#REF!,#REF!,#REF!,#REF!,#REF!,SPD!AT91,#REF!,#REF!,#REF!)</f>
        <v>0</v>
      </c>
      <c r="AU91" s="410">
        <f>CHOOSE($B$3,#REF!,#REF!,#REF!,#REF!,#REF!,#REF!,#REF!,#REF!,#REF!,#REF!,SPD!AU91,#REF!,#REF!,#REF!)</f>
        <v>0</v>
      </c>
      <c r="AV91" s="263"/>
      <c r="AW91" s="184"/>
    </row>
    <row r="92" spans="1:49" ht="16">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CHOOSE($B$3,#REF!,#REF!,#REF!,#REF!,#REF!,#REF!,#REF!,#REF!,#REF!,#REF!,SPD!AJ92,#REF!,#REF!,#REF!)</f>
        <v>Re-opener</v>
      </c>
      <c r="AK92" s="321"/>
      <c r="AL92" s="417" t="str">
        <f>CHOOSE($B$3,#REF!,#REF!,#REF!,#REF!,#REF!,#REF!,#REF!,#REF!,#REF!,#REF!,SPD!AL92,#REF!,#REF!,#REF!)</f>
        <v>RPEs Don't Apply</v>
      </c>
      <c r="AM92" s="527">
        <f>CHOOSE($B$3,#REF!,#REF!,#REF!,#REF!,#REF!,#REF!,#REF!,#REF!,#REF!,#REF!,SPD!AM92,#REF!,#REF!,#REF!)</f>
        <v>2</v>
      </c>
      <c r="AN92" s="321"/>
      <c r="AO92" s="410">
        <f>CHOOSE($B$3,#REF!,#REF!,#REF!,#REF!,#REF!,#REF!,#REF!,#REF!,#REF!,#REF!,SPD!AO92,#REF!,#REF!,#REF!)</f>
        <v>0</v>
      </c>
      <c r="AP92" s="410">
        <f>CHOOSE($B$3,#REF!,#REF!,#REF!,#REF!,#REF!,#REF!,#REF!,#REF!,#REF!,#REF!,SPD!AP92,#REF!,#REF!,#REF!)</f>
        <v>0</v>
      </c>
      <c r="AQ92" s="456">
        <f>CHOOSE($B$3,#REF!,#REF!,#REF!,#REF!,#REF!,#REF!,#REF!,#REF!,#REF!,#REF!,SPD!AQ92,#REF!,#REF!,#REF!)</f>
        <v>0</v>
      </c>
      <c r="AR92" s="410">
        <f>CHOOSE($B$3,#REF!,#REF!,#REF!,#REF!,#REF!,#REF!,#REF!,#REF!,#REF!,#REF!,SPD!AR92,#REF!,#REF!,#REF!)</f>
        <v>0</v>
      </c>
      <c r="AS92" s="410">
        <f>CHOOSE($B$3,#REF!,#REF!,#REF!,#REF!,#REF!,#REF!,#REF!,#REF!,#REF!,#REF!,SPD!AS92,#REF!,#REF!,#REF!)</f>
        <v>0</v>
      </c>
      <c r="AT92" s="410">
        <f>CHOOSE($B$3,#REF!,#REF!,#REF!,#REF!,#REF!,#REF!,#REF!,#REF!,#REF!,#REF!,SPD!AT92,#REF!,#REF!,#REF!)</f>
        <v>0</v>
      </c>
      <c r="AU92" s="410">
        <f>CHOOSE($B$3,#REF!,#REF!,#REF!,#REF!,#REF!,#REF!,#REF!,#REF!,#REF!,#REF!,SPD!AU92,#REF!,#REF!,#REF!)</f>
        <v>1</v>
      </c>
      <c r="AV92" s="263"/>
      <c r="AW92" s="184"/>
    </row>
    <row r="93" spans="1:49" ht="16">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CHOOSE($B$3,#REF!,#REF!,#REF!,#REF!,#REF!,#REF!,#REF!,#REF!,#REF!,#REF!,SPD!AJ93,#REF!,#REF!,#REF!)</f>
        <v>PCD</v>
      </c>
      <c r="AK93" s="321"/>
      <c r="AL93" s="417" t="str">
        <f>CHOOSE($B$3,#REF!,#REF!,#REF!,#REF!,#REF!,#REF!,#REF!,#REF!,#REF!,#REF!,SPD!AL93,#REF!,#REF!,#REF!)</f>
        <v>RPEs Apply</v>
      </c>
      <c r="AM93" s="527">
        <f>CHOOSE($B$3,#REF!,#REF!,#REF!,#REF!,#REF!,#REF!,#REF!,#REF!,#REF!,#REF!,SPD!AM93,#REF!,#REF!,#REF!)</f>
        <v>1</v>
      </c>
      <c r="AN93" s="321"/>
      <c r="AO93" s="410">
        <f>CHOOSE($B$3,#REF!,#REF!,#REF!,#REF!,#REF!,#REF!,#REF!,#REF!,#REF!,#REF!,SPD!AO93,#REF!,#REF!,#REF!)</f>
        <v>1</v>
      </c>
      <c r="AP93" s="410">
        <f>CHOOSE($B$3,#REF!,#REF!,#REF!,#REF!,#REF!,#REF!,#REF!,#REF!,#REF!,#REF!,SPD!AP93,#REF!,#REF!,#REF!)</f>
        <v>0</v>
      </c>
      <c r="AQ93" s="456">
        <f>CHOOSE($B$3,#REF!,#REF!,#REF!,#REF!,#REF!,#REF!,#REF!,#REF!,#REF!,#REF!,SPD!AQ93,#REF!,#REF!,#REF!)</f>
        <v>0</v>
      </c>
      <c r="AR93" s="410">
        <f>CHOOSE($B$3,#REF!,#REF!,#REF!,#REF!,#REF!,#REF!,#REF!,#REF!,#REF!,#REF!,SPD!AR93,#REF!,#REF!,#REF!)</f>
        <v>0</v>
      </c>
      <c r="AS93" s="410">
        <f>CHOOSE($B$3,#REF!,#REF!,#REF!,#REF!,#REF!,#REF!,#REF!,#REF!,#REF!,#REF!,SPD!AS93,#REF!,#REF!,#REF!)</f>
        <v>0</v>
      </c>
      <c r="AT93" s="410">
        <f>CHOOSE($B$3,#REF!,#REF!,#REF!,#REF!,#REF!,#REF!,#REF!,#REF!,#REF!,#REF!,SPD!AT93,#REF!,#REF!,#REF!)</f>
        <v>0</v>
      </c>
      <c r="AU93" s="410">
        <f>CHOOSE($B$3,#REF!,#REF!,#REF!,#REF!,#REF!,#REF!,#REF!,#REF!,#REF!,#REF!,SPD!AU93,#REF!,#REF!,#REF!)</f>
        <v>0</v>
      </c>
      <c r="AV93" s="263"/>
      <c r="AW93" s="184"/>
    </row>
    <row r="94" spans="1:49" ht="16">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CHOOSE($B$3,#REF!,#REF!,#REF!,#REF!,#REF!,#REF!,#REF!,#REF!,#REF!,#REF!,SPD!AJ94,#REF!,#REF!,#REF!)</f>
        <v>Other</v>
      </c>
      <c r="AK94" s="321"/>
      <c r="AL94" s="417" t="str">
        <f>CHOOSE($B$3,#REF!,#REF!,#REF!,#REF!,#REF!,#REF!,#REF!,#REF!,#REF!,#REF!,SPD!AL94,#REF!,#REF!,#REF!)</f>
        <v>RPEs Don't Apply</v>
      </c>
      <c r="AM94" s="527">
        <f>CHOOSE($B$3,#REF!,#REF!,#REF!,#REF!,#REF!,#REF!,#REF!,#REF!,#REF!,#REF!,SPD!AM94,#REF!,#REF!,#REF!)</f>
        <v>2</v>
      </c>
      <c r="AN94" s="321"/>
      <c r="AO94" s="410">
        <f>CHOOSE($B$3,#REF!,#REF!,#REF!,#REF!,#REF!,#REF!,#REF!,#REF!,#REF!,#REF!,SPD!AO94,#REF!,#REF!,#REF!)</f>
        <v>0</v>
      </c>
      <c r="AP94" s="410">
        <f>CHOOSE($B$3,#REF!,#REF!,#REF!,#REF!,#REF!,#REF!,#REF!,#REF!,#REF!,#REF!,SPD!AP94,#REF!,#REF!,#REF!)</f>
        <v>0</v>
      </c>
      <c r="AQ94" s="456">
        <f>CHOOSE($B$3,#REF!,#REF!,#REF!,#REF!,#REF!,#REF!,#REF!,#REF!,#REF!,#REF!,SPD!AQ94,#REF!,#REF!,#REF!)</f>
        <v>0.9</v>
      </c>
      <c r="AR94" s="410">
        <f>CHOOSE($B$3,#REF!,#REF!,#REF!,#REF!,#REF!,#REF!,#REF!,#REF!,#REF!,#REF!,SPD!AR94,#REF!,#REF!,#REF!)</f>
        <v>0</v>
      </c>
      <c r="AS94" s="410">
        <f>CHOOSE($B$3,#REF!,#REF!,#REF!,#REF!,#REF!,#REF!,#REF!,#REF!,#REF!,#REF!,SPD!AS94,#REF!,#REF!,#REF!)</f>
        <v>0</v>
      </c>
      <c r="AT94" s="410">
        <f>CHOOSE($B$3,#REF!,#REF!,#REF!,#REF!,#REF!,#REF!,#REF!,#REF!,#REF!,#REF!,SPD!AT94,#REF!,#REF!,#REF!)</f>
        <v>0</v>
      </c>
      <c r="AU94" s="410">
        <f>CHOOSE($B$3,#REF!,#REF!,#REF!,#REF!,#REF!,#REF!,#REF!,#REF!,#REF!,#REF!,SPD!AU94,#REF!,#REF!,#REF!)</f>
        <v>0.1</v>
      </c>
      <c r="AV94" s="263"/>
      <c r="AW94" s="184"/>
    </row>
    <row r="95" spans="1:49" ht="16">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CHOOSE($B$3,#REF!,#REF!,#REF!,#REF!,#REF!,#REF!,#REF!,#REF!,#REF!,#REF!,SPD!AJ95,#REF!,#REF!,#REF!)</f>
        <v>Re-opener</v>
      </c>
      <c r="AK95" s="321"/>
      <c r="AL95" s="417" t="str">
        <f>CHOOSE($B$3,#REF!,#REF!,#REF!,#REF!,#REF!,#REF!,#REF!,#REF!,#REF!,#REF!,SPD!AL95,#REF!,#REF!,#REF!)</f>
        <v>RPEs Don't Apply</v>
      </c>
      <c r="AM95" s="527">
        <f>CHOOSE($B$3,#REF!,#REF!,#REF!,#REF!,#REF!,#REF!,#REF!,#REF!,#REF!,#REF!,SPD!AM95,#REF!,#REF!,#REF!)</f>
        <v>2</v>
      </c>
      <c r="AN95" s="321"/>
      <c r="AO95" s="410">
        <f>CHOOSE($B$3,#REF!,#REF!,#REF!,#REF!,#REF!,#REF!,#REF!,#REF!,#REF!,#REF!,SPD!AO95,#REF!,#REF!,#REF!)</f>
        <v>0</v>
      </c>
      <c r="AP95" s="410">
        <f>CHOOSE($B$3,#REF!,#REF!,#REF!,#REF!,#REF!,#REF!,#REF!,#REF!,#REF!,#REF!,SPD!AP95,#REF!,#REF!,#REF!)</f>
        <v>0</v>
      </c>
      <c r="AQ95" s="456">
        <f>CHOOSE($B$3,#REF!,#REF!,#REF!,#REF!,#REF!,#REF!,#REF!,#REF!,#REF!,#REF!,SPD!AQ95,#REF!,#REF!,#REF!)</f>
        <v>1</v>
      </c>
      <c r="AR95" s="410">
        <f>CHOOSE($B$3,#REF!,#REF!,#REF!,#REF!,#REF!,#REF!,#REF!,#REF!,#REF!,#REF!,SPD!AR95,#REF!,#REF!,#REF!)</f>
        <v>0</v>
      </c>
      <c r="AS95" s="410">
        <f>CHOOSE($B$3,#REF!,#REF!,#REF!,#REF!,#REF!,#REF!,#REF!,#REF!,#REF!,#REF!,SPD!AS95,#REF!,#REF!,#REF!)</f>
        <v>0</v>
      </c>
      <c r="AT95" s="410">
        <f>CHOOSE($B$3,#REF!,#REF!,#REF!,#REF!,#REF!,#REF!,#REF!,#REF!,#REF!,#REF!,SPD!AT95,#REF!,#REF!,#REF!)</f>
        <v>0</v>
      </c>
      <c r="AU95" s="410">
        <f>CHOOSE($B$3,#REF!,#REF!,#REF!,#REF!,#REF!,#REF!,#REF!,#REF!,#REF!,#REF!,SPD!AU95,#REF!,#REF!,#REF!)</f>
        <v>0</v>
      </c>
      <c r="AV95" s="263"/>
      <c r="AW95" s="184"/>
    </row>
    <row r="96" spans="1:49" ht="16">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CHOOSE($B$3,#REF!,#REF!,#REF!,#REF!,#REF!,#REF!,#REF!,#REF!,#REF!,#REF!,SPD!AJ96,#REF!,#REF!,#REF!)</f>
        <v>Re-opener</v>
      </c>
      <c r="AK96" s="321"/>
      <c r="AL96" s="417" t="str">
        <f>CHOOSE($B$3,#REF!,#REF!,#REF!,#REF!,#REF!,#REF!,#REF!,#REF!,#REF!,#REF!,SPD!AL96,#REF!,#REF!,#REF!)</f>
        <v>RPEs Don't Apply</v>
      </c>
      <c r="AM96" s="527">
        <f>CHOOSE($B$3,#REF!,#REF!,#REF!,#REF!,#REF!,#REF!,#REF!,#REF!,#REF!,#REF!,SPD!AM96,#REF!,#REF!,#REF!)</f>
        <v>2</v>
      </c>
      <c r="AN96" s="321"/>
      <c r="AO96" s="410">
        <f>CHOOSE($B$3,#REF!,#REF!,#REF!,#REF!,#REF!,#REF!,#REF!,#REF!,#REF!,#REF!,SPD!AO96,#REF!,#REF!,#REF!)</f>
        <v>0</v>
      </c>
      <c r="AP96" s="410">
        <f>CHOOSE($B$3,#REF!,#REF!,#REF!,#REF!,#REF!,#REF!,#REF!,#REF!,#REF!,#REF!,SPD!AP96,#REF!,#REF!,#REF!)</f>
        <v>0</v>
      </c>
      <c r="AQ96" s="456">
        <f>CHOOSE($B$3,#REF!,#REF!,#REF!,#REF!,#REF!,#REF!,#REF!,#REF!,#REF!,#REF!,SPD!AQ96,#REF!,#REF!,#REF!)</f>
        <v>0</v>
      </c>
      <c r="AR96" s="410">
        <f>CHOOSE($B$3,#REF!,#REF!,#REF!,#REF!,#REF!,#REF!,#REF!,#REF!,#REF!,#REF!,SPD!AR96,#REF!,#REF!,#REF!)</f>
        <v>0</v>
      </c>
      <c r="AS96" s="410">
        <f>CHOOSE($B$3,#REF!,#REF!,#REF!,#REF!,#REF!,#REF!,#REF!,#REF!,#REF!,#REF!,SPD!AS96,#REF!,#REF!,#REF!)</f>
        <v>0</v>
      </c>
      <c r="AT96" s="410">
        <f>CHOOSE($B$3,#REF!,#REF!,#REF!,#REF!,#REF!,#REF!,#REF!,#REF!,#REF!,#REF!,SPD!AT96,#REF!,#REF!,#REF!)</f>
        <v>0</v>
      </c>
      <c r="AU96" s="410">
        <f>CHOOSE($B$3,#REF!,#REF!,#REF!,#REF!,#REF!,#REF!,#REF!,#REF!,#REF!,#REF!,SPD!AU96,#REF!,#REF!,#REF!)</f>
        <v>1</v>
      </c>
      <c r="AV96" s="263"/>
      <c r="AW96" s="184"/>
    </row>
    <row r="97" spans="1:49" ht="16">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CHOOSE($B$3,#REF!,#REF!,#REF!,#REF!,#REF!,#REF!,#REF!,#REF!,#REF!,#REF!,SPD!AJ97,#REF!,#REF!,#REF!)</f>
        <v>Re-opener</v>
      </c>
      <c r="AK97" s="321"/>
      <c r="AL97" s="417" t="str">
        <f>CHOOSE($B$3,#REF!,#REF!,#REF!,#REF!,#REF!,#REF!,#REF!,#REF!,#REF!,#REF!,SPD!AL97,#REF!,#REF!,#REF!)</f>
        <v>RPEs Don't Apply</v>
      </c>
      <c r="AM97" s="527">
        <f>CHOOSE($B$3,#REF!,#REF!,#REF!,#REF!,#REF!,#REF!,#REF!,#REF!,#REF!,#REF!,SPD!AM97,#REF!,#REF!,#REF!)</f>
        <v>2</v>
      </c>
      <c r="AN97" s="321"/>
      <c r="AO97" s="410">
        <f>CHOOSE($B$3,#REF!,#REF!,#REF!,#REF!,#REF!,#REF!,#REF!,#REF!,#REF!,#REF!,SPD!AO97,#REF!,#REF!,#REF!)</f>
        <v>0</v>
      </c>
      <c r="AP97" s="410">
        <f>CHOOSE($B$3,#REF!,#REF!,#REF!,#REF!,#REF!,#REF!,#REF!,#REF!,#REF!,#REF!,SPD!AP97,#REF!,#REF!,#REF!)</f>
        <v>1</v>
      </c>
      <c r="AQ97" s="456">
        <f>CHOOSE($B$3,#REF!,#REF!,#REF!,#REF!,#REF!,#REF!,#REF!,#REF!,#REF!,#REF!,SPD!AQ97,#REF!,#REF!,#REF!)</f>
        <v>0</v>
      </c>
      <c r="AR97" s="410">
        <f>CHOOSE($B$3,#REF!,#REF!,#REF!,#REF!,#REF!,#REF!,#REF!,#REF!,#REF!,#REF!,SPD!AR97,#REF!,#REF!,#REF!)</f>
        <v>0</v>
      </c>
      <c r="AS97" s="410">
        <f>CHOOSE($B$3,#REF!,#REF!,#REF!,#REF!,#REF!,#REF!,#REF!,#REF!,#REF!,#REF!,SPD!AS97,#REF!,#REF!,#REF!)</f>
        <v>0</v>
      </c>
      <c r="AT97" s="410">
        <f>CHOOSE($B$3,#REF!,#REF!,#REF!,#REF!,#REF!,#REF!,#REF!,#REF!,#REF!,#REF!,SPD!AT97,#REF!,#REF!,#REF!)</f>
        <v>0</v>
      </c>
      <c r="AU97" s="410">
        <f>CHOOSE($B$3,#REF!,#REF!,#REF!,#REF!,#REF!,#REF!,#REF!,#REF!,#REF!,#REF!,SPD!AU97,#REF!,#REF!,#REF!)</f>
        <v>0</v>
      </c>
      <c r="AV97" s="263"/>
      <c r="AW97" s="184"/>
    </row>
    <row r="98" spans="1:49" ht="16">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CHOOSE($B$3,#REF!,#REF!,#REF!,#REF!,#REF!,#REF!,#REF!,#REF!,#REF!,#REF!,SPD!AJ98,#REF!,#REF!,#REF!)</f>
        <v>Re-opener</v>
      </c>
      <c r="AK98" s="321"/>
      <c r="AL98" s="417" t="str">
        <f>CHOOSE($B$3,#REF!,#REF!,#REF!,#REF!,#REF!,#REF!,#REF!,#REF!,#REF!,#REF!,SPD!AL98,#REF!,#REF!,#REF!)</f>
        <v>RPEs Don't Apply</v>
      </c>
      <c r="AM98" s="527">
        <f>CHOOSE($B$3,#REF!,#REF!,#REF!,#REF!,#REF!,#REF!,#REF!,#REF!,#REF!,#REF!,SPD!AM98,#REF!,#REF!,#REF!)</f>
        <v>2</v>
      </c>
      <c r="AN98" s="321"/>
      <c r="AO98" s="410">
        <f>CHOOSE($B$3,#REF!,#REF!,#REF!,#REF!,#REF!,#REF!,#REF!,#REF!,#REF!,#REF!,SPD!AO98,#REF!,#REF!,#REF!)</f>
        <v>0</v>
      </c>
      <c r="AP98" s="410">
        <f>CHOOSE($B$3,#REF!,#REF!,#REF!,#REF!,#REF!,#REF!,#REF!,#REF!,#REF!,#REF!,SPD!AP98,#REF!,#REF!,#REF!)</f>
        <v>1</v>
      </c>
      <c r="AQ98" s="456">
        <f>CHOOSE($B$3,#REF!,#REF!,#REF!,#REF!,#REF!,#REF!,#REF!,#REF!,#REF!,#REF!,SPD!AQ98,#REF!,#REF!,#REF!)</f>
        <v>0</v>
      </c>
      <c r="AR98" s="410">
        <f>CHOOSE($B$3,#REF!,#REF!,#REF!,#REF!,#REF!,#REF!,#REF!,#REF!,#REF!,#REF!,SPD!AR98,#REF!,#REF!,#REF!)</f>
        <v>0</v>
      </c>
      <c r="AS98" s="410">
        <f>CHOOSE($B$3,#REF!,#REF!,#REF!,#REF!,#REF!,#REF!,#REF!,#REF!,#REF!,#REF!,SPD!AS98,#REF!,#REF!,#REF!)</f>
        <v>0</v>
      </c>
      <c r="AT98" s="410">
        <f>CHOOSE($B$3,#REF!,#REF!,#REF!,#REF!,#REF!,#REF!,#REF!,#REF!,#REF!,#REF!,SPD!AT98,#REF!,#REF!,#REF!)</f>
        <v>0</v>
      </c>
      <c r="AU98" s="410">
        <f>CHOOSE($B$3,#REF!,#REF!,#REF!,#REF!,#REF!,#REF!,#REF!,#REF!,#REF!,#REF!,SPD!AU98,#REF!,#REF!,#REF!)</f>
        <v>0</v>
      </c>
      <c r="AV98" s="263"/>
      <c r="AW98" s="184"/>
    </row>
    <row r="99" spans="1:49" ht="16">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CHOOSE($B$3,#REF!,#REF!,#REF!,#REF!,#REF!,#REF!,#REF!,#REF!,#REF!,#REF!,SPD!AJ99,#REF!,#REF!,#REF!)</f>
        <v>PCD</v>
      </c>
      <c r="AK99" s="321"/>
      <c r="AL99" s="417" t="str">
        <f>CHOOSE($B$3,#REF!,#REF!,#REF!,#REF!,#REF!,#REF!,#REF!,#REF!,#REF!,#REF!,SPD!AL99,#REF!,#REF!,#REF!)</f>
        <v>RPEs Apply</v>
      </c>
      <c r="AM99" s="527">
        <f>CHOOSE($B$3,#REF!,#REF!,#REF!,#REF!,#REF!,#REF!,#REF!,#REF!,#REF!,#REF!,SPD!AM99,#REF!,#REF!,#REF!)</f>
        <v>1</v>
      </c>
      <c r="AN99" s="321"/>
      <c r="AO99" s="410">
        <f>CHOOSE($B$3,#REF!,#REF!,#REF!,#REF!,#REF!,#REF!,#REF!,#REF!,#REF!,#REF!,SPD!AO99,#REF!,#REF!,#REF!)</f>
        <v>1</v>
      </c>
      <c r="AP99" s="410">
        <f>CHOOSE($B$3,#REF!,#REF!,#REF!,#REF!,#REF!,#REF!,#REF!,#REF!,#REF!,#REF!,SPD!AP99,#REF!,#REF!,#REF!)</f>
        <v>0</v>
      </c>
      <c r="AQ99" s="456">
        <f>CHOOSE($B$3,#REF!,#REF!,#REF!,#REF!,#REF!,#REF!,#REF!,#REF!,#REF!,#REF!,SPD!AQ99,#REF!,#REF!,#REF!)</f>
        <v>0</v>
      </c>
      <c r="AR99" s="410">
        <f>CHOOSE($B$3,#REF!,#REF!,#REF!,#REF!,#REF!,#REF!,#REF!,#REF!,#REF!,#REF!,SPD!AR99,#REF!,#REF!,#REF!)</f>
        <v>0</v>
      </c>
      <c r="AS99" s="410">
        <f>CHOOSE($B$3,#REF!,#REF!,#REF!,#REF!,#REF!,#REF!,#REF!,#REF!,#REF!,#REF!,SPD!AS99,#REF!,#REF!,#REF!)</f>
        <v>0</v>
      </c>
      <c r="AT99" s="410">
        <f>CHOOSE($B$3,#REF!,#REF!,#REF!,#REF!,#REF!,#REF!,#REF!,#REF!,#REF!,#REF!,SPD!AT99,#REF!,#REF!,#REF!)</f>
        <v>0</v>
      </c>
      <c r="AU99" s="410">
        <f>CHOOSE($B$3,#REF!,#REF!,#REF!,#REF!,#REF!,#REF!,#REF!,#REF!,#REF!,#REF!,SPD!AU99,#REF!,#REF!,#REF!)</f>
        <v>0</v>
      </c>
      <c r="AV99" s="263"/>
      <c r="AW99" s="184"/>
    </row>
    <row r="100" spans="1:49" ht="16">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CHOOSE($B$3,#REF!,#REF!,#REF!,#REF!,#REF!,#REF!,#REF!,#REF!,#REF!,#REF!,SPD!AJ100,#REF!,#REF!,#REF!)</f>
        <v>UIOLI</v>
      </c>
      <c r="AK100" s="321"/>
      <c r="AL100" s="417" t="str">
        <f>CHOOSE($B$3,#REF!,#REF!,#REF!,#REF!,#REF!,#REF!,#REF!,#REF!,#REF!,#REF!,SPD!AL100,#REF!,#REF!,#REF!)</f>
        <v>RPEs Don't Apply</v>
      </c>
      <c r="AM100" s="527">
        <f>CHOOSE($B$3,#REF!,#REF!,#REF!,#REF!,#REF!,#REF!,#REF!,#REF!,#REF!,#REF!,SPD!AM100,#REF!,#REF!,#REF!)</f>
        <v>1</v>
      </c>
      <c r="AN100" s="321"/>
      <c r="AO100" s="410">
        <f>CHOOSE($B$3,#REF!,#REF!,#REF!,#REF!,#REF!,#REF!,#REF!,#REF!,#REF!,#REF!,SPD!AO100,#REF!,#REF!,#REF!)</f>
        <v>0</v>
      </c>
      <c r="AP100" s="410">
        <f>CHOOSE($B$3,#REF!,#REF!,#REF!,#REF!,#REF!,#REF!,#REF!,#REF!,#REF!,#REF!,SPD!AP100,#REF!,#REF!,#REF!)</f>
        <v>0</v>
      </c>
      <c r="AQ100" s="456">
        <f>CHOOSE($B$3,#REF!,#REF!,#REF!,#REF!,#REF!,#REF!,#REF!,#REF!,#REF!,#REF!,SPD!AQ100,#REF!,#REF!,#REF!)</f>
        <v>1</v>
      </c>
      <c r="AR100" s="410">
        <f>CHOOSE($B$3,#REF!,#REF!,#REF!,#REF!,#REF!,#REF!,#REF!,#REF!,#REF!,#REF!,SPD!AR100,#REF!,#REF!,#REF!)</f>
        <v>0</v>
      </c>
      <c r="AS100" s="410">
        <f>CHOOSE($B$3,#REF!,#REF!,#REF!,#REF!,#REF!,#REF!,#REF!,#REF!,#REF!,#REF!,SPD!AS100,#REF!,#REF!,#REF!)</f>
        <v>0</v>
      </c>
      <c r="AT100" s="410">
        <f>CHOOSE($B$3,#REF!,#REF!,#REF!,#REF!,#REF!,#REF!,#REF!,#REF!,#REF!,#REF!,SPD!AT100,#REF!,#REF!,#REF!)</f>
        <v>0</v>
      </c>
      <c r="AU100" s="410">
        <f>CHOOSE($B$3,#REF!,#REF!,#REF!,#REF!,#REF!,#REF!,#REF!,#REF!,#REF!,#REF!,SPD!AU100,#REF!,#REF!,#REF!)</f>
        <v>0</v>
      </c>
      <c r="AV100" s="263"/>
      <c r="AW100" s="184"/>
    </row>
    <row r="101" spans="1:49" ht="16">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CHOOSE($B$3,#REF!,#REF!,#REF!,#REF!,#REF!,#REF!,#REF!,#REF!,#REF!,#REF!,SPD!AJ101,#REF!,#REF!,#REF!)</f>
        <v>UIOLI</v>
      </c>
      <c r="AK101" s="321"/>
      <c r="AL101" s="417" t="str">
        <f>CHOOSE($B$3,#REF!,#REF!,#REF!,#REF!,#REF!,#REF!,#REF!,#REF!,#REF!,#REF!,SPD!AL101,#REF!,#REF!,#REF!)</f>
        <v>RPEs Don't Apply</v>
      </c>
      <c r="AM101" s="527">
        <f>CHOOSE($B$3,#REF!,#REF!,#REF!,#REF!,#REF!,#REF!,#REF!,#REF!,#REF!,#REF!,SPD!AM101,#REF!,#REF!,#REF!)</f>
        <v>1</v>
      </c>
      <c r="AN101" s="321"/>
      <c r="AO101" s="410">
        <f>CHOOSE($B$3,#REF!,#REF!,#REF!,#REF!,#REF!,#REF!,#REF!,#REF!,#REF!,#REF!,SPD!AO101,#REF!,#REF!,#REF!)</f>
        <v>0</v>
      </c>
      <c r="AP101" s="410">
        <f>CHOOSE($B$3,#REF!,#REF!,#REF!,#REF!,#REF!,#REF!,#REF!,#REF!,#REF!,#REF!,SPD!AP101,#REF!,#REF!,#REF!)</f>
        <v>0</v>
      </c>
      <c r="AQ101" s="456">
        <f>CHOOSE($B$3,#REF!,#REF!,#REF!,#REF!,#REF!,#REF!,#REF!,#REF!,#REF!,#REF!,SPD!AQ101,#REF!,#REF!,#REF!)</f>
        <v>0</v>
      </c>
      <c r="AR101" s="410">
        <f>CHOOSE($B$3,#REF!,#REF!,#REF!,#REF!,#REF!,#REF!,#REF!,#REF!,#REF!,#REF!,SPD!AR101,#REF!,#REF!,#REF!)</f>
        <v>0</v>
      </c>
      <c r="AS101" s="410">
        <f>CHOOSE($B$3,#REF!,#REF!,#REF!,#REF!,#REF!,#REF!,#REF!,#REF!,#REF!,#REF!,SPD!AS101,#REF!,#REF!,#REF!)</f>
        <v>0</v>
      </c>
      <c r="AT101" s="410">
        <f>CHOOSE($B$3,#REF!,#REF!,#REF!,#REF!,#REF!,#REF!,#REF!,#REF!,#REF!,#REF!,SPD!AT101,#REF!,#REF!,#REF!)</f>
        <v>0</v>
      </c>
      <c r="AU101" s="410">
        <f>CHOOSE($B$3,#REF!,#REF!,#REF!,#REF!,#REF!,#REF!,#REF!,#REF!,#REF!,#REF!,SPD!AU101,#REF!,#REF!,#REF!)</f>
        <v>1</v>
      </c>
      <c r="AV101" s="263"/>
      <c r="AW101" s="184"/>
    </row>
    <row r="102" spans="1:49" ht="16">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CHOOSE($B$3,#REF!,#REF!,#REF!,#REF!,#REF!,#REF!,#REF!,#REF!,#REF!,#REF!,SPD!AJ102,#REF!,#REF!,#REF!)</f>
        <v>PCD</v>
      </c>
      <c r="AK102" s="321"/>
      <c r="AL102" s="417" t="str">
        <f>CHOOSE($B$3,#REF!,#REF!,#REF!,#REF!,#REF!,#REF!,#REF!,#REF!,#REF!,#REF!,SPD!AL102,#REF!,#REF!,#REF!)</f>
        <v>RPEs Apply</v>
      </c>
      <c r="AM102" s="527">
        <f>CHOOSE($B$3,#REF!,#REF!,#REF!,#REF!,#REF!,#REF!,#REF!,#REF!,#REF!,#REF!,SPD!AM102,#REF!,#REF!,#REF!)</f>
        <v>1</v>
      </c>
      <c r="AN102" s="321"/>
      <c r="AO102" s="410">
        <f>CHOOSE($B$3,#REF!,#REF!,#REF!,#REF!,#REF!,#REF!,#REF!,#REF!,#REF!,#REF!,SPD!AO102,#REF!,#REF!,#REF!)</f>
        <v>0</v>
      </c>
      <c r="AP102" s="410">
        <f>CHOOSE($B$3,#REF!,#REF!,#REF!,#REF!,#REF!,#REF!,#REF!,#REF!,#REF!,#REF!,SPD!AP102,#REF!,#REF!,#REF!)</f>
        <v>0</v>
      </c>
      <c r="AQ102" s="456">
        <f>CHOOSE($B$3,#REF!,#REF!,#REF!,#REF!,#REF!,#REF!,#REF!,#REF!,#REF!,#REF!,SPD!AQ102,#REF!,#REF!,#REF!)</f>
        <v>0</v>
      </c>
      <c r="AR102" s="410">
        <f>CHOOSE($B$3,#REF!,#REF!,#REF!,#REF!,#REF!,#REF!,#REF!,#REF!,#REF!,#REF!,SPD!AR102,#REF!,#REF!,#REF!)</f>
        <v>0</v>
      </c>
      <c r="AS102" s="410">
        <f>CHOOSE($B$3,#REF!,#REF!,#REF!,#REF!,#REF!,#REF!,#REF!,#REF!,#REF!,#REF!,SPD!AS102,#REF!,#REF!,#REF!)</f>
        <v>0</v>
      </c>
      <c r="AT102" s="410">
        <f>CHOOSE($B$3,#REF!,#REF!,#REF!,#REF!,#REF!,#REF!,#REF!,#REF!,#REF!,#REF!,SPD!AT102,#REF!,#REF!,#REF!)</f>
        <v>0</v>
      </c>
      <c r="AU102" s="410">
        <f>CHOOSE($B$3,#REF!,#REF!,#REF!,#REF!,#REF!,#REF!,#REF!,#REF!,#REF!,#REF!,SPD!AU102,#REF!,#REF!,#REF!)</f>
        <v>1</v>
      </c>
      <c r="AV102" s="263"/>
      <c r="AW102" s="184"/>
    </row>
    <row r="103" spans="1:49" ht="16">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CHOOSE($B$3,#REF!,#REF!,#REF!,#REF!,#REF!,#REF!,#REF!,#REF!,#REF!,#REF!,SPD!AJ103,#REF!,#REF!,#REF!)</f>
        <v>Re-opener</v>
      </c>
      <c r="AK103" s="321"/>
      <c r="AL103" s="417" t="str">
        <f>CHOOSE($B$3,#REF!,#REF!,#REF!,#REF!,#REF!,#REF!,#REF!,#REF!,#REF!,#REF!,SPD!AL103,#REF!,#REF!,#REF!)</f>
        <v>RPEs Don't Apply</v>
      </c>
      <c r="AM103" s="527">
        <f>CHOOSE($B$3,#REF!,#REF!,#REF!,#REF!,#REF!,#REF!,#REF!,#REF!,#REF!,#REF!,SPD!AM103,#REF!,#REF!,#REF!)</f>
        <v>2</v>
      </c>
      <c r="AN103" s="321"/>
      <c r="AO103" s="410">
        <f>CHOOSE($B$3,#REF!,#REF!,#REF!,#REF!,#REF!,#REF!,#REF!,#REF!,#REF!,#REF!,SPD!AO103,#REF!,#REF!,#REF!)</f>
        <v>0</v>
      </c>
      <c r="AP103" s="410">
        <f>CHOOSE($B$3,#REF!,#REF!,#REF!,#REF!,#REF!,#REF!,#REF!,#REF!,#REF!,#REF!,SPD!AP103,#REF!,#REF!,#REF!)</f>
        <v>1</v>
      </c>
      <c r="AQ103" s="456">
        <f>CHOOSE($B$3,#REF!,#REF!,#REF!,#REF!,#REF!,#REF!,#REF!,#REF!,#REF!,#REF!,SPD!AQ103,#REF!,#REF!,#REF!)</f>
        <v>0</v>
      </c>
      <c r="AR103" s="410">
        <f>CHOOSE($B$3,#REF!,#REF!,#REF!,#REF!,#REF!,#REF!,#REF!,#REF!,#REF!,#REF!,SPD!AR103,#REF!,#REF!,#REF!)</f>
        <v>0</v>
      </c>
      <c r="AS103" s="410">
        <f>CHOOSE($B$3,#REF!,#REF!,#REF!,#REF!,#REF!,#REF!,#REF!,#REF!,#REF!,#REF!,SPD!AS103,#REF!,#REF!,#REF!)</f>
        <v>0</v>
      </c>
      <c r="AT103" s="410">
        <f>CHOOSE($B$3,#REF!,#REF!,#REF!,#REF!,#REF!,#REF!,#REF!,#REF!,#REF!,#REF!,SPD!AT103,#REF!,#REF!,#REF!)</f>
        <v>0</v>
      </c>
      <c r="AU103" s="410">
        <f>CHOOSE($B$3,#REF!,#REF!,#REF!,#REF!,#REF!,#REF!,#REF!,#REF!,#REF!,#REF!,SPD!AU103,#REF!,#REF!,#REF!)</f>
        <v>0</v>
      </c>
      <c r="AV103" s="263"/>
      <c r="AW103" s="184"/>
    </row>
    <row r="104" spans="1:49" ht="16">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CHOOSE($B$3,#REF!,#REF!,#REF!,#REF!,#REF!,#REF!,#REF!,#REF!,#REF!,#REF!,SPD!AJ104,#REF!,#REF!,#REF!)</f>
        <v>Other</v>
      </c>
      <c r="AK104" s="321"/>
      <c r="AL104" s="417" t="str">
        <f>CHOOSE($B$3,#REF!,#REF!,#REF!,#REF!,#REF!,#REF!,#REF!,#REF!,#REF!,#REF!,SPD!AL104,#REF!,#REF!,#REF!)</f>
        <v>RPEs Don't Apply</v>
      </c>
      <c r="AM104" s="527">
        <f>CHOOSE($B$3,#REF!,#REF!,#REF!,#REF!,#REF!,#REF!,#REF!,#REF!,#REF!,#REF!,SPD!AM104,#REF!,#REF!,#REF!)</f>
        <v>2</v>
      </c>
      <c r="AN104" s="321"/>
      <c r="AO104" s="410">
        <f>CHOOSE($B$3,#REF!,#REF!,#REF!,#REF!,#REF!,#REF!,#REF!,#REF!,#REF!,#REF!,SPD!AO104,#REF!,#REF!,#REF!)</f>
        <v>0</v>
      </c>
      <c r="AP104" s="410">
        <f>CHOOSE($B$3,#REF!,#REF!,#REF!,#REF!,#REF!,#REF!,#REF!,#REF!,#REF!,#REF!,SPD!AP104,#REF!,#REF!,#REF!)</f>
        <v>0</v>
      </c>
      <c r="AQ104" s="456">
        <f>CHOOSE($B$3,#REF!,#REF!,#REF!,#REF!,#REF!,#REF!,#REF!,#REF!,#REF!,#REF!,SPD!AQ104,#REF!,#REF!,#REF!)</f>
        <v>0</v>
      </c>
      <c r="AR104" s="410">
        <f>CHOOSE($B$3,#REF!,#REF!,#REF!,#REF!,#REF!,#REF!,#REF!,#REF!,#REF!,#REF!,SPD!AR104,#REF!,#REF!,#REF!)</f>
        <v>0</v>
      </c>
      <c r="AS104" s="410">
        <f>CHOOSE($B$3,#REF!,#REF!,#REF!,#REF!,#REF!,#REF!,#REF!,#REF!,#REF!,#REF!,SPD!AS104,#REF!,#REF!,#REF!)</f>
        <v>0</v>
      </c>
      <c r="AT104" s="410">
        <f>CHOOSE($B$3,#REF!,#REF!,#REF!,#REF!,#REF!,#REF!,#REF!,#REF!,#REF!,#REF!,SPD!AT104,#REF!,#REF!,#REF!)</f>
        <v>0</v>
      </c>
      <c r="AU104" s="410">
        <f>CHOOSE($B$3,#REF!,#REF!,#REF!,#REF!,#REF!,#REF!,#REF!,#REF!,#REF!,#REF!,SPD!AU104,#REF!,#REF!,#REF!)</f>
        <v>1</v>
      </c>
      <c r="AV104" s="263"/>
      <c r="AW104" s="184"/>
    </row>
    <row r="105" spans="1:49" ht="16">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CHOOSE($B$3,#REF!,#REF!,#REF!,#REF!,#REF!,#REF!,#REF!,#REF!,#REF!,#REF!,SPD!AJ105,#REF!,#REF!,#REF!)</f>
        <v>PCD</v>
      </c>
      <c r="AK105" s="321"/>
      <c r="AL105" s="417" t="str">
        <f>CHOOSE($B$3,#REF!,#REF!,#REF!,#REF!,#REF!,#REF!,#REF!,#REF!,#REF!,#REF!,SPD!AL105,#REF!,#REF!,#REF!)</f>
        <v>RPEs Apply</v>
      </c>
      <c r="AM105" s="527">
        <f>CHOOSE($B$3,#REF!,#REF!,#REF!,#REF!,#REF!,#REF!,#REF!,#REF!,#REF!,#REF!,SPD!AM105,#REF!,#REF!,#REF!)</f>
        <v>1</v>
      </c>
      <c r="AN105" s="321"/>
      <c r="AO105" s="410">
        <f>CHOOSE($B$3,#REF!,#REF!,#REF!,#REF!,#REF!,#REF!,#REF!,#REF!,#REF!,#REF!,SPD!AO105,#REF!,#REF!,#REF!)</f>
        <v>0</v>
      </c>
      <c r="AP105" s="410">
        <f>CHOOSE($B$3,#REF!,#REF!,#REF!,#REF!,#REF!,#REF!,#REF!,#REF!,#REF!,#REF!,SPD!AP105,#REF!,#REF!,#REF!)</f>
        <v>1</v>
      </c>
      <c r="AQ105" s="456">
        <f>CHOOSE($B$3,#REF!,#REF!,#REF!,#REF!,#REF!,#REF!,#REF!,#REF!,#REF!,#REF!,SPD!AQ105,#REF!,#REF!,#REF!)</f>
        <v>0</v>
      </c>
      <c r="AR105" s="410">
        <f>CHOOSE($B$3,#REF!,#REF!,#REF!,#REF!,#REF!,#REF!,#REF!,#REF!,#REF!,#REF!,SPD!AR105,#REF!,#REF!,#REF!)</f>
        <v>0</v>
      </c>
      <c r="AS105" s="410">
        <f>CHOOSE($B$3,#REF!,#REF!,#REF!,#REF!,#REF!,#REF!,#REF!,#REF!,#REF!,#REF!,SPD!AS105,#REF!,#REF!,#REF!)</f>
        <v>0</v>
      </c>
      <c r="AT105" s="410">
        <f>CHOOSE($B$3,#REF!,#REF!,#REF!,#REF!,#REF!,#REF!,#REF!,#REF!,#REF!,#REF!,SPD!AT105,#REF!,#REF!,#REF!)</f>
        <v>0</v>
      </c>
      <c r="AU105" s="410">
        <f>CHOOSE($B$3,#REF!,#REF!,#REF!,#REF!,#REF!,#REF!,#REF!,#REF!,#REF!,#REF!,SPD!AU105,#REF!,#REF!,#REF!)</f>
        <v>0</v>
      </c>
      <c r="AV105" s="263"/>
      <c r="AW105" s="184"/>
    </row>
    <row r="106" spans="1:49" ht="16">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CHOOSE($B$3,#REF!,#REF!,#REF!,#REF!,#REF!,#REF!,#REF!,#REF!,#REF!,#REF!,SPD!AJ106,#REF!,#REF!,#REF!)</f>
        <v>PCD</v>
      </c>
      <c r="AK106" s="321"/>
      <c r="AL106" s="417" t="str">
        <f>CHOOSE($B$3,#REF!,#REF!,#REF!,#REF!,#REF!,#REF!,#REF!,#REF!,#REF!,#REF!,SPD!AL106,#REF!,#REF!,#REF!)</f>
        <v>RPEs Apply</v>
      </c>
      <c r="AM106" s="527">
        <f>CHOOSE($B$3,#REF!,#REF!,#REF!,#REF!,#REF!,#REF!,#REF!,#REF!,#REF!,#REF!,SPD!AM106,#REF!,#REF!,#REF!)</f>
        <v>1</v>
      </c>
      <c r="AN106" s="321"/>
      <c r="AO106" s="410">
        <f>CHOOSE($B$3,#REF!,#REF!,#REF!,#REF!,#REF!,#REF!,#REF!,#REF!,#REF!,#REF!,SPD!AO106,#REF!,#REF!,#REF!)</f>
        <v>0</v>
      </c>
      <c r="AP106" s="410">
        <f>CHOOSE($B$3,#REF!,#REF!,#REF!,#REF!,#REF!,#REF!,#REF!,#REF!,#REF!,#REF!,SPD!AP106,#REF!,#REF!,#REF!)</f>
        <v>0</v>
      </c>
      <c r="AQ106" s="456">
        <f>CHOOSE($B$3,#REF!,#REF!,#REF!,#REF!,#REF!,#REF!,#REF!,#REF!,#REF!,#REF!,SPD!AQ106,#REF!,#REF!,#REF!)</f>
        <v>1</v>
      </c>
      <c r="AR106" s="410">
        <f>CHOOSE($B$3,#REF!,#REF!,#REF!,#REF!,#REF!,#REF!,#REF!,#REF!,#REF!,#REF!,SPD!AR106,#REF!,#REF!,#REF!)</f>
        <v>0</v>
      </c>
      <c r="AS106" s="410">
        <f>CHOOSE($B$3,#REF!,#REF!,#REF!,#REF!,#REF!,#REF!,#REF!,#REF!,#REF!,#REF!,SPD!AS106,#REF!,#REF!,#REF!)</f>
        <v>0</v>
      </c>
      <c r="AT106" s="410">
        <f>CHOOSE($B$3,#REF!,#REF!,#REF!,#REF!,#REF!,#REF!,#REF!,#REF!,#REF!,#REF!,SPD!AT106,#REF!,#REF!,#REF!)</f>
        <v>0</v>
      </c>
      <c r="AU106" s="410">
        <f>CHOOSE($B$3,#REF!,#REF!,#REF!,#REF!,#REF!,#REF!,#REF!,#REF!,#REF!,#REF!,SPD!AU106,#REF!,#REF!,#REF!)</f>
        <v>0</v>
      </c>
      <c r="AV106" s="263"/>
      <c r="AW106" s="184"/>
    </row>
    <row r="107" spans="1:49" ht="16">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CHOOSE($B$3,#REF!,#REF!,#REF!,#REF!,#REF!,#REF!,#REF!,#REF!,#REF!,#REF!,SPD!AJ107,#REF!,#REF!,#REF!)</f>
        <v>PCD</v>
      </c>
      <c r="AK107" s="321"/>
      <c r="AL107" s="417" t="str">
        <f>CHOOSE($B$3,#REF!,#REF!,#REF!,#REF!,#REF!,#REF!,#REF!,#REF!,#REF!,#REF!,SPD!AL107,#REF!,#REF!,#REF!)</f>
        <v>RPEs Apply</v>
      </c>
      <c r="AM107" s="527">
        <f>CHOOSE($B$3,#REF!,#REF!,#REF!,#REF!,#REF!,#REF!,#REF!,#REF!,#REF!,#REF!,SPD!AM107,#REF!,#REF!,#REF!)</f>
        <v>1</v>
      </c>
      <c r="AN107" s="321"/>
      <c r="AO107" s="410">
        <f>CHOOSE($B$3,#REF!,#REF!,#REF!,#REF!,#REF!,#REF!,#REF!,#REF!,#REF!,#REF!,SPD!AO107,#REF!,#REF!,#REF!)</f>
        <v>0</v>
      </c>
      <c r="AP107" s="410">
        <f>CHOOSE($B$3,#REF!,#REF!,#REF!,#REF!,#REF!,#REF!,#REF!,#REF!,#REF!,#REF!,SPD!AP107,#REF!,#REF!,#REF!)</f>
        <v>1</v>
      </c>
      <c r="AQ107" s="456">
        <f>CHOOSE($B$3,#REF!,#REF!,#REF!,#REF!,#REF!,#REF!,#REF!,#REF!,#REF!,#REF!,SPD!AQ107,#REF!,#REF!,#REF!)</f>
        <v>0</v>
      </c>
      <c r="AR107" s="410">
        <f>CHOOSE($B$3,#REF!,#REF!,#REF!,#REF!,#REF!,#REF!,#REF!,#REF!,#REF!,#REF!,SPD!AR107,#REF!,#REF!,#REF!)</f>
        <v>0</v>
      </c>
      <c r="AS107" s="410">
        <f>CHOOSE($B$3,#REF!,#REF!,#REF!,#REF!,#REF!,#REF!,#REF!,#REF!,#REF!,#REF!,SPD!AS107,#REF!,#REF!,#REF!)</f>
        <v>0</v>
      </c>
      <c r="AT107" s="410">
        <f>CHOOSE($B$3,#REF!,#REF!,#REF!,#REF!,#REF!,#REF!,#REF!,#REF!,#REF!,#REF!,SPD!AT107,#REF!,#REF!,#REF!)</f>
        <v>0</v>
      </c>
      <c r="AU107" s="410">
        <f>CHOOSE($B$3,#REF!,#REF!,#REF!,#REF!,#REF!,#REF!,#REF!,#REF!,#REF!,#REF!,SPD!AU107,#REF!,#REF!,#REF!)</f>
        <v>0</v>
      </c>
      <c r="AV107" s="263"/>
      <c r="AW107" s="184"/>
    </row>
    <row r="108" spans="1:49" ht="16">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CHOOSE($B$3,#REF!,#REF!,#REF!,#REF!,#REF!,#REF!,#REF!,#REF!,#REF!,#REF!,SPD!AJ108,#REF!,#REF!,#REF!)</f>
        <v>Re-opener</v>
      </c>
      <c r="AK108" s="321"/>
      <c r="AL108" s="417" t="str">
        <f>CHOOSE($B$3,#REF!,#REF!,#REF!,#REF!,#REF!,#REF!,#REF!,#REF!,#REF!,#REF!,SPD!AL108,#REF!,#REF!,#REF!)</f>
        <v>RPEs Don't Apply</v>
      </c>
      <c r="AM108" s="527">
        <f>CHOOSE($B$3,#REF!,#REF!,#REF!,#REF!,#REF!,#REF!,#REF!,#REF!,#REF!,#REF!,SPD!AM108,#REF!,#REF!,#REF!)</f>
        <v>2</v>
      </c>
      <c r="AN108" s="321"/>
      <c r="AO108" s="410">
        <f>CHOOSE($B$3,#REF!,#REF!,#REF!,#REF!,#REF!,#REF!,#REF!,#REF!,#REF!,#REF!,SPD!AO108,#REF!,#REF!,#REF!)</f>
        <v>0</v>
      </c>
      <c r="AP108" s="410">
        <f>CHOOSE($B$3,#REF!,#REF!,#REF!,#REF!,#REF!,#REF!,#REF!,#REF!,#REF!,#REF!,SPD!AP108,#REF!,#REF!,#REF!)</f>
        <v>0</v>
      </c>
      <c r="AQ108" s="456">
        <f>CHOOSE($B$3,#REF!,#REF!,#REF!,#REF!,#REF!,#REF!,#REF!,#REF!,#REF!,#REF!,SPD!AQ108,#REF!,#REF!,#REF!)</f>
        <v>0</v>
      </c>
      <c r="AR108" s="410">
        <f>CHOOSE($B$3,#REF!,#REF!,#REF!,#REF!,#REF!,#REF!,#REF!,#REF!,#REF!,#REF!,SPD!AR108,#REF!,#REF!,#REF!)</f>
        <v>1</v>
      </c>
      <c r="AS108" s="410">
        <f>CHOOSE($B$3,#REF!,#REF!,#REF!,#REF!,#REF!,#REF!,#REF!,#REF!,#REF!,#REF!,SPD!AS108,#REF!,#REF!,#REF!)</f>
        <v>0</v>
      </c>
      <c r="AT108" s="410">
        <f>CHOOSE($B$3,#REF!,#REF!,#REF!,#REF!,#REF!,#REF!,#REF!,#REF!,#REF!,#REF!,SPD!AT108,#REF!,#REF!,#REF!)</f>
        <v>0</v>
      </c>
      <c r="AU108" s="410">
        <f>CHOOSE($B$3,#REF!,#REF!,#REF!,#REF!,#REF!,#REF!,#REF!,#REF!,#REF!,#REF!,SPD!AU108,#REF!,#REF!,#REF!)</f>
        <v>0</v>
      </c>
      <c r="AV108" s="263"/>
      <c r="AW108" s="184"/>
    </row>
    <row r="109" spans="1:49" ht="16">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CHOOSE($B$3,#REF!,#REF!,#REF!,#REF!,#REF!,#REF!,#REF!,#REF!,#REF!,#REF!,SPD!AJ109,#REF!,#REF!,#REF!)</f>
        <v>Re-opener</v>
      </c>
      <c r="AK109" s="321"/>
      <c r="AL109" s="417" t="str">
        <f>CHOOSE($B$3,#REF!,#REF!,#REF!,#REF!,#REF!,#REF!,#REF!,#REF!,#REF!,#REF!,SPD!AL109,#REF!,#REF!,#REF!)</f>
        <v>RPEs Don't Apply</v>
      </c>
      <c r="AM109" s="527">
        <f>CHOOSE($B$3,#REF!,#REF!,#REF!,#REF!,#REF!,#REF!,#REF!,#REF!,#REF!,#REF!,SPD!AM109,#REF!,#REF!,#REF!)</f>
        <v>2</v>
      </c>
      <c r="AN109" s="321"/>
      <c r="AO109" s="410">
        <f>CHOOSE($B$3,#REF!,#REF!,#REF!,#REF!,#REF!,#REF!,#REF!,#REF!,#REF!,#REF!,SPD!AO109,#REF!,#REF!,#REF!)</f>
        <v>0</v>
      </c>
      <c r="AP109" s="410">
        <f>CHOOSE($B$3,#REF!,#REF!,#REF!,#REF!,#REF!,#REF!,#REF!,#REF!,#REF!,#REF!,SPD!AP109,#REF!,#REF!,#REF!)</f>
        <v>1</v>
      </c>
      <c r="AQ109" s="456">
        <f>CHOOSE($B$3,#REF!,#REF!,#REF!,#REF!,#REF!,#REF!,#REF!,#REF!,#REF!,#REF!,SPD!AQ109,#REF!,#REF!,#REF!)</f>
        <v>0</v>
      </c>
      <c r="AR109" s="410">
        <f>CHOOSE($B$3,#REF!,#REF!,#REF!,#REF!,#REF!,#REF!,#REF!,#REF!,#REF!,#REF!,SPD!AR109,#REF!,#REF!,#REF!)</f>
        <v>0</v>
      </c>
      <c r="AS109" s="410">
        <f>CHOOSE($B$3,#REF!,#REF!,#REF!,#REF!,#REF!,#REF!,#REF!,#REF!,#REF!,#REF!,SPD!AS109,#REF!,#REF!,#REF!)</f>
        <v>0</v>
      </c>
      <c r="AT109" s="410">
        <f>CHOOSE($B$3,#REF!,#REF!,#REF!,#REF!,#REF!,#REF!,#REF!,#REF!,#REF!,#REF!,SPD!AT109,#REF!,#REF!,#REF!)</f>
        <v>0</v>
      </c>
      <c r="AU109" s="410">
        <f>CHOOSE($B$3,#REF!,#REF!,#REF!,#REF!,#REF!,#REF!,#REF!,#REF!,#REF!,#REF!,SPD!AU109,#REF!,#REF!,#REF!)</f>
        <v>0</v>
      </c>
      <c r="AV109" s="263"/>
      <c r="AW109" s="184"/>
    </row>
    <row r="110" spans="1:49" ht="16">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CHOOSE($B$3,#REF!,#REF!,#REF!,#REF!,#REF!,#REF!,#REF!,#REF!,#REF!,#REF!,SPD!AJ110,#REF!,#REF!,#REF!)</f>
        <v>Other</v>
      </c>
      <c r="AK110" s="321"/>
      <c r="AL110" s="417" t="str">
        <f>CHOOSE($B$3,#REF!,#REF!,#REF!,#REF!,#REF!,#REF!,#REF!,#REF!,#REF!,#REF!,SPD!AL110,#REF!,#REF!,#REF!)</f>
        <v>RPEs Don't Apply</v>
      </c>
      <c r="AM110" s="527">
        <f>CHOOSE($B$3,#REF!,#REF!,#REF!,#REF!,#REF!,#REF!,#REF!,#REF!,#REF!,#REF!,SPD!AM110,#REF!,#REF!,#REF!)</f>
        <v>2</v>
      </c>
      <c r="AN110" s="321"/>
      <c r="AO110" s="410">
        <f>CHOOSE($B$3,#REF!,#REF!,#REF!,#REF!,#REF!,#REF!,#REF!,#REF!,#REF!,#REF!,SPD!AO110,#REF!,#REF!,#REF!)</f>
        <v>1</v>
      </c>
      <c r="AP110" s="410">
        <f>CHOOSE($B$3,#REF!,#REF!,#REF!,#REF!,#REF!,#REF!,#REF!,#REF!,#REF!,#REF!,SPD!AP110,#REF!,#REF!,#REF!)</f>
        <v>0</v>
      </c>
      <c r="AQ110" s="456">
        <f>CHOOSE($B$3,#REF!,#REF!,#REF!,#REF!,#REF!,#REF!,#REF!,#REF!,#REF!,#REF!,SPD!AQ110,#REF!,#REF!,#REF!)</f>
        <v>0</v>
      </c>
      <c r="AR110" s="410">
        <f>CHOOSE($B$3,#REF!,#REF!,#REF!,#REF!,#REF!,#REF!,#REF!,#REF!,#REF!,#REF!,SPD!AR110,#REF!,#REF!,#REF!)</f>
        <v>0</v>
      </c>
      <c r="AS110" s="410">
        <f>CHOOSE($B$3,#REF!,#REF!,#REF!,#REF!,#REF!,#REF!,#REF!,#REF!,#REF!,#REF!,SPD!AS110,#REF!,#REF!,#REF!)</f>
        <v>0</v>
      </c>
      <c r="AT110" s="410">
        <f>CHOOSE($B$3,#REF!,#REF!,#REF!,#REF!,#REF!,#REF!,#REF!,#REF!,#REF!,#REF!,SPD!AT110,#REF!,#REF!,#REF!)</f>
        <v>0</v>
      </c>
      <c r="AU110" s="410">
        <f>CHOOSE($B$3,#REF!,#REF!,#REF!,#REF!,#REF!,#REF!,#REF!,#REF!,#REF!,#REF!,SPD!AU110,#REF!,#REF!,#REF!)</f>
        <v>0</v>
      </c>
      <c r="AV110" s="263"/>
      <c r="AW110" s="184"/>
    </row>
    <row r="111" spans="1:49" ht="16">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CHOOSE($B$3,#REF!,#REF!,#REF!,#REF!,#REF!,#REF!,#REF!,#REF!,#REF!,#REF!,SPD!AJ111,#REF!,#REF!,#REF!)</f>
        <v>Other</v>
      </c>
      <c r="AK111" s="321"/>
      <c r="AL111" s="417" t="str">
        <f>CHOOSE($B$3,#REF!,#REF!,#REF!,#REF!,#REF!,#REF!,#REF!,#REF!,#REF!,#REF!,SPD!AL111,#REF!,#REF!,#REF!)</f>
        <v>RPEs Don't Apply</v>
      </c>
      <c r="AM111" s="527">
        <f>CHOOSE($B$3,#REF!,#REF!,#REF!,#REF!,#REF!,#REF!,#REF!,#REF!,#REF!,#REF!,SPD!AM111,#REF!,#REF!,#REF!)</f>
        <v>2</v>
      </c>
      <c r="AN111" s="321"/>
      <c r="AO111" s="410">
        <f>CHOOSE($B$3,#REF!,#REF!,#REF!,#REF!,#REF!,#REF!,#REF!,#REF!,#REF!,#REF!,SPD!AO111,#REF!,#REF!,#REF!)</f>
        <v>1</v>
      </c>
      <c r="AP111" s="410">
        <f>CHOOSE($B$3,#REF!,#REF!,#REF!,#REF!,#REF!,#REF!,#REF!,#REF!,#REF!,#REF!,SPD!AP111,#REF!,#REF!,#REF!)</f>
        <v>0</v>
      </c>
      <c r="AQ111" s="456">
        <f>CHOOSE($B$3,#REF!,#REF!,#REF!,#REF!,#REF!,#REF!,#REF!,#REF!,#REF!,#REF!,SPD!AQ111,#REF!,#REF!,#REF!)</f>
        <v>0</v>
      </c>
      <c r="AR111" s="410">
        <f>CHOOSE($B$3,#REF!,#REF!,#REF!,#REF!,#REF!,#REF!,#REF!,#REF!,#REF!,#REF!,SPD!AR111,#REF!,#REF!,#REF!)</f>
        <v>0</v>
      </c>
      <c r="AS111" s="410">
        <f>CHOOSE($B$3,#REF!,#REF!,#REF!,#REF!,#REF!,#REF!,#REF!,#REF!,#REF!,#REF!,SPD!AS111,#REF!,#REF!,#REF!)</f>
        <v>0</v>
      </c>
      <c r="AT111" s="410">
        <f>CHOOSE($B$3,#REF!,#REF!,#REF!,#REF!,#REF!,#REF!,#REF!,#REF!,#REF!,#REF!,SPD!AT111,#REF!,#REF!,#REF!)</f>
        <v>0</v>
      </c>
      <c r="AU111" s="410">
        <f>CHOOSE($B$3,#REF!,#REF!,#REF!,#REF!,#REF!,#REF!,#REF!,#REF!,#REF!,#REF!,SPD!AU111,#REF!,#REF!,#REF!)</f>
        <v>0</v>
      </c>
      <c r="AV111" s="263"/>
      <c r="AW111" s="184"/>
    </row>
    <row r="112" spans="1:49" ht="16">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CHOOSE($B$3,#REF!,#REF!,#REF!,#REF!,#REF!,#REF!,#REF!,#REF!,#REF!,#REF!,SPD!AJ112,#REF!,#REF!,#REF!)</f>
        <v>Other</v>
      </c>
      <c r="AK112" s="321"/>
      <c r="AL112" s="417" t="str">
        <f>CHOOSE($B$3,#REF!,#REF!,#REF!,#REF!,#REF!,#REF!,#REF!,#REF!,#REF!,#REF!,SPD!AL112,#REF!,#REF!,#REF!)</f>
        <v>RPEs Don't Apply</v>
      </c>
      <c r="AM112" s="527">
        <f>CHOOSE($B$3,#REF!,#REF!,#REF!,#REF!,#REF!,#REF!,#REF!,#REF!,#REF!,#REF!,SPD!AM112,#REF!,#REF!,#REF!)</f>
        <v>2</v>
      </c>
      <c r="AN112" s="321"/>
      <c r="AO112" s="410">
        <f>CHOOSE($B$3,#REF!,#REF!,#REF!,#REF!,#REF!,#REF!,#REF!,#REF!,#REF!,#REF!,SPD!AO112,#REF!,#REF!,#REF!)</f>
        <v>0</v>
      </c>
      <c r="AP112" s="410">
        <f>CHOOSE($B$3,#REF!,#REF!,#REF!,#REF!,#REF!,#REF!,#REF!,#REF!,#REF!,#REF!,SPD!AP112,#REF!,#REF!,#REF!)</f>
        <v>0</v>
      </c>
      <c r="AQ112" s="456">
        <f>CHOOSE($B$3,#REF!,#REF!,#REF!,#REF!,#REF!,#REF!,#REF!,#REF!,#REF!,#REF!,SPD!AQ112,#REF!,#REF!,#REF!)</f>
        <v>0</v>
      </c>
      <c r="AR112" s="410">
        <f>CHOOSE($B$3,#REF!,#REF!,#REF!,#REF!,#REF!,#REF!,#REF!,#REF!,#REF!,#REF!,SPD!AR112,#REF!,#REF!,#REF!)</f>
        <v>1</v>
      </c>
      <c r="AS112" s="410">
        <f>CHOOSE($B$3,#REF!,#REF!,#REF!,#REF!,#REF!,#REF!,#REF!,#REF!,#REF!,#REF!,SPD!AS112,#REF!,#REF!,#REF!)</f>
        <v>0</v>
      </c>
      <c r="AT112" s="410">
        <f>CHOOSE($B$3,#REF!,#REF!,#REF!,#REF!,#REF!,#REF!,#REF!,#REF!,#REF!,#REF!,SPD!AT112,#REF!,#REF!,#REF!)</f>
        <v>0</v>
      </c>
      <c r="AU112" s="410">
        <f>CHOOSE($B$3,#REF!,#REF!,#REF!,#REF!,#REF!,#REF!,#REF!,#REF!,#REF!,#REF!,SPD!AU112,#REF!,#REF!,#REF!)</f>
        <v>0</v>
      </c>
      <c r="AV112" s="263"/>
      <c r="AW112" s="184"/>
    </row>
    <row r="113" spans="1:49" ht="16">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CHOOSE($B$3,#REF!,#REF!,#REF!,#REF!,#REF!,#REF!,#REF!,#REF!,#REF!,#REF!,SPD!AJ113,#REF!,#REF!,#REF!)</f>
        <v>Other</v>
      </c>
      <c r="AK113" s="321"/>
      <c r="AL113" s="417" t="str">
        <f>CHOOSE($B$3,#REF!,#REF!,#REF!,#REF!,#REF!,#REF!,#REF!,#REF!,#REF!,#REF!,SPD!AL113,#REF!,#REF!,#REF!)</f>
        <v>RPEs Don't Apply</v>
      </c>
      <c r="AM113" s="527">
        <f>CHOOSE($B$3,#REF!,#REF!,#REF!,#REF!,#REF!,#REF!,#REF!,#REF!,#REF!,#REF!,SPD!AM113,#REF!,#REF!,#REF!)</f>
        <v>2</v>
      </c>
      <c r="AN113" s="321"/>
      <c r="AO113" s="410">
        <f>CHOOSE($B$3,#REF!,#REF!,#REF!,#REF!,#REF!,#REF!,#REF!,#REF!,#REF!,#REF!,SPD!AO113,#REF!,#REF!,#REF!)</f>
        <v>1</v>
      </c>
      <c r="AP113" s="410">
        <f>CHOOSE($B$3,#REF!,#REF!,#REF!,#REF!,#REF!,#REF!,#REF!,#REF!,#REF!,#REF!,SPD!AP113,#REF!,#REF!,#REF!)</f>
        <v>0</v>
      </c>
      <c r="AQ113" s="456">
        <f>CHOOSE($B$3,#REF!,#REF!,#REF!,#REF!,#REF!,#REF!,#REF!,#REF!,#REF!,#REF!,SPD!AQ113,#REF!,#REF!,#REF!)</f>
        <v>0</v>
      </c>
      <c r="AR113" s="410">
        <f>CHOOSE($B$3,#REF!,#REF!,#REF!,#REF!,#REF!,#REF!,#REF!,#REF!,#REF!,#REF!,SPD!AR113,#REF!,#REF!,#REF!)</f>
        <v>0</v>
      </c>
      <c r="AS113" s="410">
        <f>CHOOSE($B$3,#REF!,#REF!,#REF!,#REF!,#REF!,#REF!,#REF!,#REF!,#REF!,#REF!,SPD!AS113,#REF!,#REF!,#REF!)</f>
        <v>0</v>
      </c>
      <c r="AT113" s="410">
        <f>CHOOSE($B$3,#REF!,#REF!,#REF!,#REF!,#REF!,#REF!,#REF!,#REF!,#REF!,#REF!,SPD!AT113,#REF!,#REF!,#REF!)</f>
        <v>0</v>
      </c>
      <c r="AU113" s="410">
        <f>CHOOSE($B$3,#REF!,#REF!,#REF!,#REF!,#REF!,#REF!,#REF!,#REF!,#REF!,#REF!,SPD!AU113,#REF!,#REF!,#REF!)</f>
        <v>0</v>
      </c>
      <c r="AV113" s="263"/>
      <c r="AW113" s="184"/>
    </row>
    <row r="114" spans="1:49" ht="16">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7">
        <f>CHOOSE($B$3,#REF!,#REF!,#REF!,#REF!,#REF!,#REF!,#REF!,#REF!,#REF!,#REF!,SPD!AJ114,#REF!,#REF!,#REF!)</f>
        <v>0</v>
      </c>
      <c r="AK114" s="321"/>
      <c r="AL114" s="527">
        <f>CHOOSE($B$3,#REF!,#REF!,#REF!,#REF!,#REF!,#REF!,#REF!,#REF!,#REF!,#REF!,SPD!AL114,#REF!,#REF!,#REF!)</f>
        <v>0</v>
      </c>
      <c r="AM114" s="527">
        <f>CHOOSE($B$3,#REF!,#REF!,#REF!,#REF!,#REF!,#REF!,#REF!,#REF!,#REF!,#REF!,SPD!AM114,#REF!,#REF!,#REF!)</f>
        <v>0</v>
      </c>
      <c r="AN114" s="321"/>
      <c r="AO114" s="410">
        <f>CHOOSE($B$3,#REF!,#REF!,#REF!,#REF!,#REF!,#REF!,#REF!,#REF!,#REF!,#REF!,SPD!AO114,#REF!,#REF!,#REF!)</f>
        <v>0</v>
      </c>
      <c r="AP114" s="410">
        <f>CHOOSE($B$3,#REF!,#REF!,#REF!,#REF!,#REF!,#REF!,#REF!,#REF!,#REF!,#REF!,SPD!AP114,#REF!,#REF!,#REF!)</f>
        <v>0</v>
      </c>
      <c r="AQ114" s="456">
        <f>CHOOSE($B$3,#REF!,#REF!,#REF!,#REF!,#REF!,#REF!,#REF!,#REF!,#REF!,#REF!,SPD!AQ114,#REF!,#REF!,#REF!)</f>
        <v>0</v>
      </c>
      <c r="AR114" s="410">
        <f>CHOOSE($B$3,#REF!,#REF!,#REF!,#REF!,#REF!,#REF!,#REF!,#REF!,#REF!,#REF!,SPD!AR114,#REF!,#REF!,#REF!)</f>
        <v>0</v>
      </c>
      <c r="AS114" s="410">
        <f>CHOOSE($B$3,#REF!,#REF!,#REF!,#REF!,#REF!,#REF!,#REF!,#REF!,#REF!,#REF!,SPD!AS114,#REF!,#REF!,#REF!)</f>
        <v>0</v>
      </c>
      <c r="AT114" s="410">
        <f>CHOOSE($B$3,#REF!,#REF!,#REF!,#REF!,#REF!,#REF!,#REF!,#REF!,#REF!,#REF!,SPD!AT114,#REF!,#REF!,#REF!)</f>
        <v>0</v>
      </c>
      <c r="AU114" s="410">
        <f>CHOOSE($B$3,#REF!,#REF!,#REF!,#REF!,#REF!,#REF!,#REF!,#REF!,#REF!,#REF!,SPD!AU114,#REF!,#REF!,#REF!)</f>
        <v>0</v>
      </c>
      <c r="AV114" s="263"/>
      <c r="AW114" s="184"/>
    </row>
    <row r="115" spans="1:49" ht="16">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7">
        <f>CHOOSE($B$3,#REF!,#REF!,#REF!,#REF!,#REF!,#REF!,#REF!,#REF!,#REF!,#REF!,SPD!AJ115,#REF!,#REF!,#REF!)</f>
        <v>0</v>
      </c>
      <c r="AK115" s="321"/>
      <c r="AL115" s="527">
        <f>CHOOSE($B$3,#REF!,#REF!,#REF!,#REF!,#REF!,#REF!,#REF!,#REF!,#REF!,#REF!,SPD!AL115,#REF!,#REF!,#REF!)</f>
        <v>0</v>
      </c>
      <c r="AM115" s="527">
        <f>CHOOSE($B$3,#REF!,#REF!,#REF!,#REF!,#REF!,#REF!,#REF!,#REF!,#REF!,#REF!,SPD!AM115,#REF!,#REF!,#REF!)</f>
        <v>0</v>
      </c>
      <c r="AN115" s="321"/>
      <c r="AO115" s="410">
        <f>CHOOSE($B$3,#REF!,#REF!,#REF!,#REF!,#REF!,#REF!,#REF!,#REF!,#REF!,#REF!,SPD!AO115,#REF!,#REF!,#REF!)</f>
        <v>0</v>
      </c>
      <c r="AP115" s="410">
        <f>CHOOSE($B$3,#REF!,#REF!,#REF!,#REF!,#REF!,#REF!,#REF!,#REF!,#REF!,#REF!,SPD!AP115,#REF!,#REF!,#REF!)</f>
        <v>0</v>
      </c>
      <c r="AQ115" s="456">
        <f>CHOOSE($B$3,#REF!,#REF!,#REF!,#REF!,#REF!,#REF!,#REF!,#REF!,#REF!,#REF!,SPD!AQ115,#REF!,#REF!,#REF!)</f>
        <v>0</v>
      </c>
      <c r="AR115" s="410">
        <f>CHOOSE($B$3,#REF!,#REF!,#REF!,#REF!,#REF!,#REF!,#REF!,#REF!,#REF!,#REF!,SPD!AR115,#REF!,#REF!,#REF!)</f>
        <v>0</v>
      </c>
      <c r="AS115" s="410">
        <f>CHOOSE($B$3,#REF!,#REF!,#REF!,#REF!,#REF!,#REF!,#REF!,#REF!,#REF!,#REF!,SPD!AS115,#REF!,#REF!,#REF!)</f>
        <v>0</v>
      </c>
      <c r="AT115" s="410">
        <f>CHOOSE($B$3,#REF!,#REF!,#REF!,#REF!,#REF!,#REF!,#REF!,#REF!,#REF!,#REF!,SPD!AT115,#REF!,#REF!,#REF!)</f>
        <v>0</v>
      </c>
      <c r="AU115" s="410">
        <f>CHOOSE($B$3,#REF!,#REF!,#REF!,#REF!,#REF!,#REF!,#REF!,#REF!,#REF!,#REF!,SPD!AU115,#REF!,#REF!,#REF!)</f>
        <v>0</v>
      </c>
      <c r="AV115" s="263"/>
      <c r="AW115" s="184"/>
    </row>
    <row r="116" spans="1:49" ht="16">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7">
        <f>CHOOSE($B$3,#REF!,#REF!,#REF!,#REF!,#REF!,#REF!,#REF!,#REF!,#REF!,#REF!,SPD!AJ116,#REF!,#REF!,#REF!)</f>
        <v>0</v>
      </c>
      <c r="AK116" s="321"/>
      <c r="AL116" s="527">
        <f>CHOOSE($B$3,#REF!,#REF!,#REF!,#REF!,#REF!,#REF!,#REF!,#REF!,#REF!,#REF!,SPD!AL116,#REF!,#REF!,#REF!)</f>
        <v>0</v>
      </c>
      <c r="AM116" s="527">
        <f>CHOOSE($B$3,#REF!,#REF!,#REF!,#REF!,#REF!,#REF!,#REF!,#REF!,#REF!,#REF!,SPD!AM116,#REF!,#REF!,#REF!)</f>
        <v>0</v>
      </c>
      <c r="AN116" s="321"/>
      <c r="AO116" s="410">
        <f>CHOOSE($B$3,#REF!,#REF!,#REF!,#REF!,#REF!,#REF!,#REF!,#REF!,#REF!,#REF!,SPD!AO116,#REF!,#REF!,#REF!)</f>
        <v>0</v>
      </c>
      <c r="AP116" s="410">
        <f>CHOOSE($B$3,#REF!,#REF!,#REF!,#REF!,#REF!,#REF!,#REF!,#REF!,#REF!,#REF!,SPD!AP116,#REF!,#REF!,#REF!)</f>
        <v>0</v>
      </c>
      <c r="AQ116" s="456">
        <f>CHOOSE($B$3,#REF!,#REF!,#REF!,#REF!,#REF!,#REF!,#REF!,#REF!,#REF!,#REF!,SPD!AQ116,#REF!,#REF!,#REF!)</f>
        <v>0</v>
      </c>
      <c r="AR116" s="410">
        <f>CHOOSE($B$3,#REF!,#REF!,#REF!,#REF!,#REF!,#REF!,#REF!,#REF!,#REF!,#REF!,SPD!AR116,#REF!,#REF!,#REF!)</f>
        <v>0</v>
      </c>
      <c r="AS116" s="410">
        <f>CHOOSE($B$3,#REF!,#REF!,#REF!,#REF!,#REF!,#REF!,#REF!,#REF!,#REF!,#REF!,SPD!AS116,#REF!,#REF!,#REF!)</f>
        <v>0</v>
      </c>
      <c r="AT116" s="410">
        <f>CHOOSE($B$3,#REF!,#REF!,#REF!,#REF!,#REF!,#REF!,#REF!,#REF!,#REF!,#REF!,SPD!AT116,#REF!,#REF!,#REF!)</f>
        <v>0</v>
      </c>
      <c r="AU116" s="410">
        <f>CHOOSE($B$3,#REF!,#REF!,#REF!,#REF!,#REF!,#REF!,#REF!,#REF!,#REF!,#REF!,SPD!AU116,#REF!,#REF!,#REF!)</f>
        <v>0</v>
      </c>
      <c r="AV116" s="263"/>
      <c r="AW116" s="184"/>
    </row>
    <row r="117" spans="1:49" ht="16">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7">
        <f>CHOOSE($B$3,#REF!,#REF!,#REF!,#REF!,#REF!,#REF!,#REF!,#REF!,#REF!,#REF!,SPD!AJ117,#REF!,#REF!,#REF!)</f>
        <v>0</v>
      </c>
      <c r="AK117" s="321"/>
      <c r="AL117" s="527">
        <f>CHOOSE($B$3,#REF!,#REF!,#REF!,#REF!,#REF!,#REF!,#REF!,#REF!,#REF!,#REF!,SPD!AL117,#REF!,#REF!,#REF!)</f>
        <v>0</v>
      </c>
      <c r="AM117" s="527">
        <f>CHOOSE($B$3,#REF!,#REF!,#REF!,#REF!,#REF!,#REF!,#REF!,#REF!,#REF!,#REF!,SPD!AM117,#REF!,#REF!,#REF!)</f>
        <v>0</v>
      </c>
      <c r="AN117" s="321"/>
      <c r="AO117" s="410">
        <f>CHOOSE($B$3,#REF!,#REF!,#REF!,#REF!,#REF!,#REF!,#REF!,#REF!,#REF!,#REF!,SPD!AO117,#REF!,#REF!,#REF!)</f>
        <v>0</v>
      </c>
      <c r="AP117" s="410">
        <f>CHOOSE($B$3,#REF!,#REF!,#REF!,#REF!,#REF!,#REF!,#REF!,#REF!,#REF!,#REF!,SPD!AP117,#REF!,#REF!,#REF!)</f>
        <v>0</v>
      </c>
      <c r="AQ117" s="456">
        <f>CHOOSE($B$3,#REF!,#REF!,#REF!,#REF!,#REF!,#REF!,#REF!,#REF!,#REF!,#REF!,SPD!AQ117,#REF!,#REF!,#REF!)</f>
        <v>0</v>
      </c>
      <c r="AR117" s="410">
        <f>CHOOSE($B$3,#REF!,#REF!,#REF!,#REF!,#REF!,#REF!,#REF!,#REF!,#REF!,#REF!,SPD!AR117,#REF!,#REF!,#REF!)</f>
        <v>0</v>
      </c>
      <c r="AS117" s="410">
        <f>CHOOSE($B$3,#REF!,#REF!,#REF!,#REF!,#REF!,#REF!,#REF!,#REF!,#REF!,#REF!,SPD!AS117,#REF!,#REF!,#REF!)</f>
        <v>0</v>
      </c>
      <c r="AT117" s="410">
        <f>CHOOSE($B$3,#REF!,#REF!,#REF!,#REF!,#REF!,#REF!,#REF!,#REF!,#REF!,#REF!,SPD!AT117,#REF!,#REF!,#REF!)</f>
        <v>0</v>
      </c>
      <c r="AU117" s="410">
        <f>CHOOSE($B$3,#REF!,#REF!,#REF!,#REF!,#REF!,#REF!,#REF!,#REF!,#REF!,#REF!,SPD!AU117,#REF!,#REF!,#REF!)</f>
        <v>0</v>
      </c>
      <c r="AV117" s="263"/>
      <c r="AW117" s="184"/>
    </row>
    <row r="118" spans="1:49" ht="16">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7">
        <f>CHOOSE($B$3,#REF!,#REF!,#REF!,#REF!,#REF!,#REF!,#REF!,#REF!,#REF!,#REF!,SPD!AJ118,#REF!,#REF!,#REF!)</f>
        <v>0</v>
      </c>
      <c r="AK118" s="321"/>
      <c r="AL118" s="527">
        <f>CHOOSE($B$3,#REF!,#REF!,#REF!,#REF!,#REF!,#REF!,#REF!,#REF!,#REF!,#REF!,SPD!AL118,#REF!,#REF!,#REF!)</f>
        <v>0</v>
      </c>
      <c r="AM118" s="527">
        <f>CHOOSE($B$3,#REF!,#REF!,#REF!,#REF!,#REF!,#REF!,#REF!,#REF!,#REF!,#REF!,SPD!AM118,#REF!,#REF!,#REF!)</f>
        <v>0</v>
      </c>
      <c r="AN118" s="321"/>
      <c r="AO118" s="410">
        <f>CHOOSE($B$3,#REF!,#REF!,#REF!,#REF!,#REF!,#REF!,#REF!,#REF!,#REF!,#REF!,SPD!AO118,#REF!,#REF!,#REF!)</f>
        <v>0</v>
      </c>
      <c r="AP118" s="410">
        <f>CHOOSE($B$3,#REF!,#REF!,#REF!,#REF!,#REF!,#REF!,#REF!,#REF!,#REF!,#REF!,SPD!AP118,#REF!,#REF!,#REF!)</f>
        <v>0</v>
      </c>
      <c r="AQ118" s="456">
        <f>CHOOSE($B$3,#REF!,#REF!,#REF!,#REF!,#REF!,#REF!,#REF!,#REF!,#REF!,#REF!,SPD!AQ118,#REF!,#REF!,#REF!)</f>
        <v>0</v>
      </c>
      <c r="AR118" s="410">
        <f>CHOOSE($B$3,#REF!,#REF!,#REF!,#REF!,#REF!,#REF!,#REF!,#REF!,#REF!,#REF!,SPD!AR118,#REF!,#REF!,#REF!)</f>
        <v>0</v>
      </c>
      <c r="AS118" s="410">
        <f>CHOOSE($B$3,#REF!,#REF!,#REF!,#REF!,#REF!,#REF!,#REF!,#REF!,#REF!,#REF!,SPD!AS118,#REF!,#REF!,#REF!)</f>
        <v>0</v>
      </c>
      <c r="AT118" s="410">
        <f>CHOOSE($B$3,#REF!,#REF!,#REF!,#REF!,#REF!,#REF!,#REF!,#REF!,#REF!,#REF!,SPD!AT118,#REF!,#REF!,#REF!)</f>
        <v>0</v>
      </c>
      <c r="AU118" s="410">
        <f>CHOOSE($B$3,#REF!,#REF!,#REF!,#REF!,#REF!,#REF!,#REF!,#REF!,#REF!,#REF!,SPD!AU118,#REF!,#REF!,#REF!)</f>
        <v>0</v>
      </c>
      <c r="AV118" s="263"/>
      <c r="AW118" s="184"/>
    </row>
    <row r="119" spans="1:49" ht="16">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7">
        <f>CHOOSE($B$3,#REF!,#REF!,#REF!,#REF!,#REF!,#REF!,#REF!,#REF!,#REF!,#REF!,SPD!AJ119,#REF!,#REF!,#REF!)</f>
        <v>0</v>
      </c>
      <c r="AK119" s="321"/>
      <c r="AL119" s="527">
        <f>CHOOSE($B$3,#REF!,#REF!,#REF!,#REF!,#REF!,#REF!,#REF!,#REF!,#REF!,#REF!,SPD!AL119,#REF!,#REF!,#REF!)</f>
        <v>0</v>
      </c>
      <c r="AM119" s="527">
        <f>CHOOSE($B$3,#REF!,#REF!,#REF!,#REF!,#REF!,#REF!,#REF!,#REF!,#REF!,#REF!,SPD!AM119,#REF!,#REF!,#REF!)</f>
        <v>0</v>
      </c>
      <c r="AN119" s="321"/>
      <c r="AO119" s="410">
        <f>CHOOSE($B$3,#REF!,#REF!,#REF!,#REF!,#REF!,#REF!,#REF!,#REF!,#REF!,#REF!,SPD!AO119,#REF!,#REF!,#REF!)</f>
        <v>0</v>
      </c>
      <c r="AP119" s="410">
        <f>CHOOSE($B$3,#REF!,#REF!,#REF!,#REF!,#REF!,#REF!,#REF!,#REF!,#REF!,#REF!,SPD!AP119,#REF!,#REF!,#REF!)</f>
        <v>0</v>
      </c>
      <c r="AQ119" s="456">
        <f>CHOOSE($B$3,#REF!,#REF!,#REF!,#REF!,#REF!,#REF!,#REF!,#REF!,#REF!,#REF!,SPD!AQ119,#REF!,#REF!,#REF!)</f>
        <v>0</v>
      </c>
      <c r="AR119" s="410">
        <f>CHOOSE($B$3,#REF!,#REF!,#REF!,#REF!,#REF!,#REF!,#REF!,#REF!,#REF!,#REF!,SPD!AR119,#REF!,#REF!,#REF!)</f>
        <v>0</v>
      </c>
      <c r="AS119" s="410">
        <f>CHOOSE($B$3,#REF!,#REF!,#REF!,#REF!,#REF!,#REF!,#REF!,#REF!,#REF!,#REF!,SPD!AS119,#REF!,#REF!,#REF!)</f>
        <v>0</v>
      </c>
      <c r="AT119" s="410">
        <f>CHOOSE($B$3,#REF!,#REF!,#REF!,#REF!,#REF!,#REF!,#REF!,#REF!,#REF!,#REF!,SPD!AT119,#REF!,#REF!,#REF!)</f>
        <v>0</v>
      </c>
      <c r="AU119" s="410">
        <f>CHOOSE($B$3,#REF!,#REF!,#REF!,#REF!,#REF!,#REF!,#REF!,#REF!,#REF!,#REF!,SPD!AU119,#REF!,#REF!,#REF!)</f>
        <v>0</v>
      </c>
      <c r="AV119" s="263"/>
      <c r="AW119" s="184"/>
    </row>
    <row r="120" spans="1:49" ht="16">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7">
        <f>CHOOSE($B$3,#REF!,#REF!,#REF!,#REF!,#REF!,#REF!,#REF!,#REF!,#REF!,#REF!,SPD!AJ120,#REF!,#REF!,#REF!)</f>
        <v>0</v>
      </c>
      <c r="AK120" s="321"/>
      <c r="AL120" s="527">
        <f>CHOOSE($B$3,#REF!,#REF!,#REF!,#REF!,#REF!,#REF!,#REF!,#REF!,#REF!,#REF!,SPD!AL120,#REF!,#REF!,#REF!)</f>
        <v>0</v>
      </c>
      <c r="AM120" s="527">
        <f>CHOOSE($B$3,#REF!,#REF!,#REF!,#REF!,#REF!,#REF!,#REF!,#REF!,#REF!,#REF!,SPD!AM120,#REF!,#REF!,#REF!)</f>
        <v>0</v>
      </c>
      <c r="AN120" s="321"/>
      <c r="AO120" s="410">
        <f>CHOOSE($B$3,#REF!,#REF!,#REF!,#REF!,#REF!,#REF!,#REF!,#REF!,#REF!,#REF!,SPD!AO120,#REF!,#REF!,#REF!)</f>
        <v>0</v>
      </c>
      <c r="AP120" s="410">
        <f>CHOOSE($B$3,#REF!,#REF!,#REF!,#REF!,#REF!,#REF!,#REF!,#REF!,#REF!,#REF!,SPD!AP120,#REF!,#REF!,#REF!)</f>
        <v>0</v>
      </c>
      <c r="AQ120" s="456">
        <f>CHOOSE($B$3,#REF!,#REF!,#REF!,#REF!,#REF!,#REF!,#REF!,#REF!,#REF!,#REF!,SPD!AQ120,#REF!,#REF!,#REF!)</f>
        <v>0</v>
      </c>
      <c r="AR120" s="410">
        <f>CHOOSE($B$3,#REF!,#REF!,#REF!,#REF!,#REF!,#REF!,#REF!,#REF!,#REF!,#REF!,SPD!AR120,#REF!,#REF!,#REF!)</f>
        <v>0</v>
      </c>
      <c r="AS120" s="410">
        <f>CHOOSE($B$3,#REF!,#REF!,#REF!,#REF!,#REF!,#REF!,#REF!,#REF!,#REF!,#REF!,SPD!AS120,#REF!,#REF!,#REF!)</f>
        <v>0</v>
      </c>
      <c r="AT120" s="410">
        <f>CHOOSE($B$3,#REF!,#REF!,#REF!,#REF!,#REF!,#REF!,#REF!,#REF!,#REF!,#REF!,SPD!AT120,#REF!,#REF!,#REF!)</f>
        <v>0</v>
      </c>
      <c r="AU120" s="410">
        <f>CHOOSE($B$3,#REF!,#REF!,#REF!,#REF!,#REF!,#REF!,#REF!,#REF!,#REF!,#REF!,SPD!AU120,#REF!,#REF!,#REF!)</f>
        <v>0</v>
      </c>
      <c r="AV120" s="263"/>
      <c r="AW120" s="184"/>
    </row>
    <row r="121" spans="1:49" ht="16">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7">
        <f>CHOOSE($B$3,#REF!,#REF!,#REF!,#REF!,#REF!,#REF!,#REF!,#REF!,#REF!,#REF!,SPD!AJ121,#REF!,#REF!,#REF!)</f>
        <v>0</v>
      </c>
      <c r="AK121" s="321"/>
      <c r="AL121" s="527">
        <f>CHOOSE($B$3,#REF!,#REF!,#REF!,#REF!,#REF!,#REF!,#REF!,#REF!,#REF!,#REF!,SPD!AL121,#REF!,#REF!,#REF!)</f>
        <v>0</v>
      </c>
      <c r="AM121" s="527">
        <f>CHOOSE($B$3,#REF!,#REF!,#REF!,#REF!,#REF!,#REF!,#REF!,#REF!,#REF!,#REF!,SPD!AM121,#REF!,#REF!,#REF!)</f>
        <v>0</v>
      </c>
      <c r="AN121" s="321"/>
      <c r="AO121" s="410">
        <f>CHOOSE($B$3,#REF!,#REF!,#REF!,#REF!,#REF!,#REF!,#REF!,#REF!,#REF!,#REF!,SPD!AO121,#REF!,#REF!,#REF!)</f>
        <v>0</v>
      </c>
      <c r="AP121" s="410">
        <f>CHOOSE($B$3,#REF!,#REF!,#REF!,#REF!,#REF!,#REF!,#REF!,#REF!,#REF!,#REF!,SPD!AP121,#REF!,#REF!,#REF!)</f>
        <v>0</v>
      </c>
      <c r="AQ121" s="456">
        <f>CHOOSE($B$3,#REF!,#REF!,#REF!,#REF!,#REF!,#REF!,#REF!,#REF!,#REF!,#REF!,SPD!AQ121,#REF!,#REF!,#REF!)</f>
        <v>0</v>
      </c>
      <c r="AR121" s="410">
        <f>CHOOSE($B$3,#REF!,#REF!,#REF!,#REF!,#REF!,#REF!,#REF!,#REF!,#REF!,#REF!,SPD!AR121,#REF!,#REF!,#REF!)</f>
        <v>0</v>
      </c>
      <c r="AS121" s="410">
        <f>CHOOSE($B$3,#REF!,#REF!,#REF!,#REF!,#REF!,#REF!,#REF!,#REF!,#REF!,#REF!,SPD!AS121,#REF!,#REF!,#REF!)</f>
        <v>0</v>
      </c>
      <c r="AT121" s="410">
        <f>CHOOSE($B$3,#REF!,#REF!,#REF!,#REF!,#REF!,#REF!,#REF!,#REF!,#REF!,#REF!,SPD!AT121,#REF!,#REF!,#REF!)</f>
        <v>0</v>
      </c>
      <c r="AU121" s="410">
        <f>CHOOSE($B$3,#REF!,#REF!,#REF!,#REF!,#REF!,#REF!,#REF!,#REF!,#REF!,#REF!,SPD!AU121,#REF!,#REF!,#REF!)</f>
        <v>0</v>
      </c>
      <c r="AV121" s="263"/>
      <c r="AW121" s="184"/>
    </row>
    <row r="122" spans="1:49" ht="16">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CHOOSE($B$3,#REF!,#REF!,#REF!,#REF!,#REF!,#REF!,#REF!,#REF!,#REF!,#REF!,SPD!AR126,#REF!,#REF!,#REF!)</f>
        <v>7.4053036420619307</v>
      </c>
      <c r="AS126" s="476">
        <f>CHOOSE($B$3,#REF!,#REF!,#REF!,#REF!,#REF!,#REF!,#REF!,#REF!,#REF!,#REF!,SPD!AS126,#REF!,#REF!,#REF!)</f>
        <v>15.579650402661066</v>
      </c>
      <c r="AT126" s="476">
        <f>CHOOSE($B$3,#REF!,#REF!,#REF!,#REF!,#REF!,#REF!,#REF!,#REF!,#REF!,#REF!,SPD!AT126,#REF!,#REF!,#REF!)</f>
        <v>16.432369984722207</v>
      </c>
      <c r="AU126" s="476">
        <f>CHOOSE($B$3,#REF!,#REF!,#REF!,#REF!,#REF!,#REF!,#REF!,#REF!,#REF!,#REF!,SPD!AU126,#REF!,#REF!,#REF!)</f>
        <v>21.296862946633006</v>
      </c>
      <c r="AV126" s="476">
        <f>CHOOSE($B$3,#REF!,#REF!,#REF!,#REF!,#REF!,#REF!,#REF!,#REF!,#REF!,#REF!,SPD!AV126,#REF!,#REF!,#REF!)</f>
        <v>29.36767140788028</v>
      </c>
      <c r="AW126" s="184"/>
    </row>
    <row r="127" spans="1:49" ht="16">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CHOOSE($B$3,#REF!,#REF!,#REF!,#REF!,#REF!,#REF!,#REF!,#REF!,#REF!,#REF!,SPD!AR127,#REF!,#REF!,#REF!)</f>
        <v>60.468026987655804</v>
      </c>
      <c r="AS127" s="476">
        <f>CHOOSE($B$3,#REF!,#REF!,#REF!,#REF!,#REF!,#REF!,#REF!,#REF!,#REF!,#REF!,SPD!AS127,#REF!,#REF!,#REF!)</f>
        <v>76.438580658507917</v>
      </c>
      <c r="AT127" s="476">
        <f>CHOOSE($B$3,#REF!,#REF!,#REF!,#REF!,#REF!,#REF!,#REF!,#REF!,#REF!,#REF!,SPD!AT127,#REF!,#REF!,#REF!)</f>
        <v>80.819104464764479</v>
      </c>
      <c r="AU127" s="476">
        <f>CHOOSE($B$3,#REF!,#REF!,#REF!,#REF!,#REF!,#REF!,#REF!,#REF!,#REF!,#REF!,SPD!AU127,#REF!,#REF!,#REF!)</f>
        <v>63.904824534846199</v>
      </c>
      <c r="AV127" s="476">
        <f>CHOOSE($B$3,#REF!,#REF!,#REF!,#REF!,#REF!,#REF!,#REF!,#REF!,#REF!,#REF!,SPD!AV127,#REF!,#REF!,#REF!)</f>
        <v>53.524458982191916</v>
      </c>
      <c r="AW127" s="184"/>
    </row>
    <row r="128" spans="1:49" ht="16">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CHOOSE($B$3,#REF!,#REF!,#REF!,#REF!,#REF!,#REF!,#REF!,#REF!,#REF!,#REF!,SPD!AR128,#REF!,#REF!,#REF!)</f>
        <v>19.04980957880942</v>
      </c>
      <c r="AS128" s="476">
        <f>CHOOSE($B$3,#REF!,#REF!,#REF!,#REF!,#REF!,#REF!,#REF!,#REF!,#REF!,#REF!,SPD!AS128,#REF!,#REF!,#REF!)</f>
        <v>29.539302882342923</v>
      </c>
      <c r="AT128" s="476">
        <f>CHOOSE($B$3,#REF!,#REF!,#REF!,#REF!,#REF!,#REF!,#REF!,#REF!,#REF!,#REF!,SPD!AT128,#REF!,#REF!,#REF!)</f>
        <v>28.29726300653217</v>
      </c>
      <c r="AU128" s="476">
        <f>CHOOSE($B$3,#REF!,#REF!,#REF!,#REF!,#REF!,#REF!,#REF!,#REF!,#REF!,#REF!,SPD!AU128,#REF!,#REF!,#REF!)</f>
        <v>32.235833929111479</v>
      </c>
      <c r="AV128" s="476">
        <f>CHOOSE($B$3,#REF!,#REF!,#REF!,#REF!,#REF!,#REF!,#REF!,#REF!,#REF!,#REF!,SPD!AV128,#REF!,#REF!,#REF!)</f>
        <v>29.11910412505943</v>
      </c>
      <c r="AW128" s="184"/>
    </row>
    <row r="129" spans="1:49" ht="16">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CHOOSE($B$3,#REF!,#REF!,#REF!,#REF!,#REF!,#REF!,#REF!,#REF!,#REF!,#REF!,SPD!AR129,#REF!,#REF!,#REF!)</f>
        <v>25.181093346116146</v>
      </c>
      <c r="AS129" s="476">
        <f>CHOOSE($B$3,#REF!,#REF!,#REF!,#REF!,#REF!,#REF!,#REF!,#REF!,#REF!,#REF!,SPD!AS129,#REF!,#REF!,#REF!)</f>
        <v>29.37336217382099</v>
      </c>
      <c r="AT129" s="476">
        <f>CHOOSE($B$3,#REF!,#REF!,#REF!,#REF!,#REF!,#REF!,#REF!,#REF!,#REF!,#REF!,SPD!AT129,#REF!,#REF!,#REF!)</f>
        <v>23.968266934420384</v>
      </c>
      <c r="AU129" s="476">
        <f>CHOOSE($B$3,#REF!,#REF!,#REF!,#REF!,#REF!,#REF!,#REF!,#REF!,#REF!,#REF!,SPD!AU129,#REF!,#REF!,#REF!)</f>
        <v>23.817107270928545</v>
      </c>
      <c r="AV129" s="476">
        <f>CHOOSE($B$3,#REF!,#REF!,#REF!,#REF!,#REF!,#REF!,#REF!,#REF!,#REF!,#REF!,SPD!AV129,#REF!,#REF!,#REF!)</f>
        <v>23.615532175399203</v>
      </c>
      <c r="AW129" s="184"/>
    </row>
    <row r="130" spans="1:49" ht="16">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CHOOSE($B$3,#REF!,#REF!,#REF!,#REF!,#REF!,#REF!,#REF!,#REF!,#REF!,#REF!,SPD!AR130,#REF!,#REF!,#REF!)</f>
        <v>4.4841398367760021</v>
      </c>
      <c r="AS130" s="476">
        <f>CHOOSE($B$3,#REF!,#REF!,#REF!,#REF!,#REF!,#REF!,#REF!,#REF!,#REF!,#REF!,SPD!AS130,#REF!,#REF!,#REF!)</f>
        <v>6.1282418038414797</v>
      </c>
      <c r="AT130" s="476">
        <f>CHOOSE($B$3,#REF!,#REF!,#REF!,#REF!,#REF!,#REF!,#REF!,#REF!,#REF!,#REF!,SPD!AT130,#REF!,#REF!,#REF!)</f>
        <v>3.9415675227154185</v>
      </c>
      <c r="AU130" s="476">
        <f>CHOOSE($B$3,#REF!,#REF!,#REF!,#REF!,#REF!,#REF!,#REF!,#REF!,#REF!,#REF!,SPD!AU130,#REF!,#REF!,#REF!)</f>
        <v>3.9472145737929156</v>
      </c>
      <c r="AV130" s="476">
        <f>CHOOSE($B$3,#REF!,#REF!,#REF!,#REF!,#REF!,#REF!,#REF!,#REF!,#REF!,#REF!,SPD!AV130,#REF!,#REF!,#REF!)</f>
        <v>3.9502466302869239</v>
      </c>
      <c r="AW130" s="184"/>
    </row>
    <row r="131" spans="1:49" ht="16">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CHOOSE($B$3,#REF!,#REF!,#REF!,#REF!,#REF!,#REF!,#REF!,#REF!,#REF!,#REF!,SPD!AR131,#REF!,#REF!,#REF!)</f>
        <v>18.358374762784134</v>
      </c>
      <c r="AS131" s="476">
        <f>CHOOSE($B$3,#REF!,#REF!,#REF!,#REF!,#REF!,#REF!,#REF!,#REF!,#REF!,#REF!,SPD!AS131,#REF!,#REF!,#REF!)</f>
        <v>13.064714582301995</v>
      </c>
      <c r="AT131" s="476">
        <f>CHOOSE($B$3,#REF!,#REF!,#REF!,#REF!,#REF!,#REF!,#REF!,#REF!,#REF!,#REF!,SPD!AT131,#REF!,#REF!,#REF!)</f>
        <v>18.174938098241526</v>
      </c>
      <c r="AU131" s="476">
        <f>CHOOSE($B$3,#REF!,#REF!,#REF!,#REF!,#REF!,#REF!,#REF!,#REF!,#REF!,#REF!,SPD!AU131,#REF!,#REF!,#REF!)</f>
        <v>17.324673414570764</v>
      </c>
      <c r="AV131" s="476">
        <f>CHOOSE($B$3,#REF!,#REF!,#REF!,#REF!,#REF!,#REF!,#REF!,#REF!,#REF!,#REF!,SPD!AV131,#REF!,#REF!,#REF!)</f>
        <v>17.549235675543112</v>
      </c>
      <c r="AW131" s="184"/>
    </row>
    <row r="132" spans="1:49" ht="16">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CHOOSE($B$3,#REF!,#REF!,#REF!,#REF!,#REF!,#REF!,#REF!,#REF!,#REF!,#REF!,SPD!AR132,#REF!,#REF!,#REF!)</f>
        <v>90.180273290682564</v>
      </c>
      <c r="AS132" s="476">
        <f>CHOOSE($B$3,#REF!,#REF!,#REF!,#REF!,#REF!,#REF!,#REF!,#REF!,#REF!,#REF!,SPD!AS132,#REF!,#REF!,#REF!)</f>
        <v>99.638480514271393</v>
      </c>
      <c r="AT132" s="476">
        <f>CHOOSE($B$3,#REF!,#REF!,#REF!,#REF!,#REF!,#REF!,#REF!,#REF!,#REF!,#REF!,SPD!AT132,#REF!,#REF!,#REF!)</f>
        <v>111.74184577802872</v>
      </c>
      <c r="AU132" s="476">
        <f>CHOOSE($B$3,#REF!,#REF!,#REF!,#REF!,#REF!,#REF!,#REF!,#REF!,#REF!,#REF!,SPD!AU132,#REF!,#REF!,#REF!)</f>
        <v>103.25745746324677</v>
      </c>
      <c r="AV132" s="476">
        <f>CHOOSE($B$3,#REF!,#REF!,#REF!,#REF!,#REF!,#REF!,#REF!,#REF!,#REF!,#REF!,SPD!AV132,#REF!,#REF!,#REF!)</f>
        <v>100.4098535490651</v>
      </c>
      <c r="AW132" s="184"/>
    </row>
    <row r="133" spans="1:49" ht="16">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6"/>
      <c r="AS133" s="2"/>
      <c r="AT133" s="2"/>
      <c r="AU133" s="2"/>
      <c r="AV133" s="2"/>
      <c r="AW133" s="184"/>
    </row>
    <row r="134" spans="1:49" ht="16">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7"/>
      <c r="AS134" s="2"/>
      <c r="AT134" s="2"/>
      <c r="AU134" s="2"/>
      <c r="AV134" s="2"/>
      <c r="AW134" s="184"/>
    </row>
    <row r="135" spans="1:49" ht="16">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CHOOSE($B$3,#REF!,#REF!,#REF!,#REF!,#REF!,#REF!,#REF!,#REF!,#REF!,#REF!,SPD!AR135,#REF!,#REF!,#REF!)</f>
        <v>27.551803839442329</v>
      </c>
      <c r="AS135" s="476">
        <f>CHOOSE($B$3,#REF!,#REF!,#REF!,#REF!,#REF!,#REF!,#REF!,#REF!,#REF!,#REF!,SPD!AS135,#REF!,#REF!,#REF!)</f>
        <v>32.419644532321904</v>
      </c>
      <c r="AT135" s="476">
        <f>CHOOSE($B$3,#REF!,#REF!,#REF!,#REF!,#REF!,#REF!,#REF!,#REF!,#REF!,#REF!,SPD!AT135,#REF!,#REF!,#REF!)</f>
        <v>57.533940403947732</v>
      </c>
      <c r="AU135" s="476">
        <f>CHOOSE($B$3,#REF!,#REF!,#REF!,#REF!,#REF!,#REF!,#REF!,#REF!,#REF!,#REF!,SPD!AU135,#REF!,#REF!,#REF!)</f>
        <v>57.533940403947732</v>
      </c>
      <c r="AV135" s="476">
        <f>CHOOSE($B$3,#REF!,#REF!,#REF!,#REF!,#REF!,#REF!,#REF!,#REF!,#REF!,#REF!,SPD!AV135,#REF!,#REF!,#REF!)</f>
        <v>59.136194621825609</v>
      </c>
      <c r="AW135" s="184"/>
    </row>
    <row r="136" spans="1:49" ht="16">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CHOOSE($B$3,#REF!,#REF!,#REF!,#REF!,#REF!,#REF!,#REF!,#REF!,#REF!,#REF!,SPD!AR136,#REF!,#REF!,#REF!)</f>
        <v>5.0435576535865181</v>
      </c>
      <c r="AS136" s="476">
        <f>CHOOSE($B$3,#REF!,#REF!,#REF!,#REF!,#REF!,#REF!,#REF!,#REF!,#REF!,#REF!,SPD!AS136,#REF!,#REF!,#REF!)</f>
        <v>13.241743911065871</v>
      </c>
      <c r="AT136" s="476">
        <f>CHOOSE($B$3,#REF!,#REF!,#REF!,#REF!,#REF!,#REF!,#REF!,#REF!,#REF!,#REF!,SPD!AT136,#REF!,#REF!,#REF!)</f>
        <v>16.921389521173417</v>
      </c>
      <c r="AU136" s="476">
        <f>CHOOSE($B$3,#REF!,#REF!,#REF!,#REF!,#REF!,#REF!,#REF!,#REF!,#REF!,#REF!,SPD!AU136,#REF!,#REF!,#REF!)</f>
        <v>23.107999811505177</v>
      </c>
      <c r="AV136" s="476">
        <f>CHOOSE($B$3,#REF!,#REF!,#REF!,#REF!,#REF!,#REF!,#REF!,#REF!,#REF!,#REF!,SPD!AV136,#REF!,#REF!,#REF!)</f>
        <v>25.460868262491388</v>
      </c>
      <c r="AW136" s="184"/>
    </row>
    <row r="137" spans="1:49" ht="16">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CHOOSE($B$3,#REF!,#REF!,#REF!,#REF!,#REF!,#REF!,#REF!,#REF!,#REF!,#REF!,SPD!AR137,#REF!,#REF!,#REF!)</f>
        <v>6.6457663075027469</v>
      </c>
      <c r="AS137" s="476">
        <f>CHOOSE($B$3,#REF!,#REF!,#REF!,#REF!,#REF!,#REF!,#REF!,#REF!,#REF!,#REF!,SPD!AS137,#REF!,#REF!,#REF!)</f>
        <v>7.4275819720431215</v>
      </c>
      <c r="AT137" s="476">
        <f>CHOOSE($B$3,#REF!,#REF!,#REF!,#REF!,#REF!,#REF!,#REF!,#REF!,#REF!,#REF!,SPD!AT137,#REF!,#REF!,#REF!)</f>
        <v>14.622217240151381</v>
      </c>
      <c r="AU137" s="476">
        <f>CHOOSE($B$3,#REF!,#REF!,#REF!,#REF!,#REF!,#REF!,#REF!,#REF!,#REF!,#REF!,SPD!AU137,#REF!,#REF!,#REF!)</f>
        <v>31.232217240151382</v>
      </c>
      <c r="AV137" s="476">
        <f>CHOOSE($B$3,#REF!,#REF!,#REF!,#REF!,#REF!,#REF!,#REF!,#REF!,#REF!,#REF!,SPD!AV137,#REF!,#REF!,#REF!)</f>
        <v>33.012217240151379</v>
      </c>
      <c r="AW137" s="184"/>
    </row>
    <row r="138" spans="1:49" ht="16">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CHOOSE($B$3,#REF!,#REF!,#REF!,#REF!,#REF!,#REF!,#REF!,#REF!,#REF!,#REF!,SPD!AR138,#REF!,#REF!,#REF!)</f>
        <v>0</v>
      </c>
      <c r="AS138" s="476">
        <f>CHOOSE($B$3,#REF!,#REF!,#REF!,#REF!,#REF!,#REF!,#REF!,#REF!,#REF!,#REF!,SPD!AS138,#REF!,#REF!,#REF!)</f>
        <v>8.0709906704187411</v>
      </c>
      <c r="AT138" s="476">
        <f>CHOOSE($B$3,#REF!,#REF!,#REF!,#REF!,#REF!,#REF!,#REF!,#REF!,#REF!,#REF!,SPD!AT138,#REF!,#REF!,#REF!)</f>
        <v>0</v>
      </c>
      <c r="AU138" s="476">
        <f>CHOOSE($B$3,#REF!,#REF!,#REF!,#REF!,#REF!,#REF!,#REF!,#REF!,#REF!,#REF!,SPD!AU138,#REF!,#REF!,#REF!)</f>
        <v>0</v>
      </c>
      <c r="AV138" s="476">
        <f>CHOOSE($B$3,#REF!,#REF!,#REF!,#REF!,#REF!,#REF!,#REF!,#REF!,#REF!,#REF!,SPD!AV138,#REF!,#REF!,#REF!)</f>
        <v>0</v>
      </c>
      <c r="AW138" s="184"/>
    </row>
    <row r="139" spans="1:49" ht="16">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CHOOSE($B$3,#REF!,#REF!,#REF!,#REF!,#REF!,#REF!,#REF!,#REF!,#REF!,#REF!,SPD!AR139,#REF!,#REF!,#REF!)</f>
        <v>0</v>
      </c>
      <c r="AS139" s="476">
        <f>CHOOSE($B$3,#REF!,#REF!,#REF!,#REF!,#REF!,#REF!,#REF!,#REF!,#REF!,#REF!,SPD!AS139,#REF!,#REF!,#REF!)</f>
        <v>0</v>
      </c>
      <c r="AT139" s="476">
        <f>CHOOSE($B$3,#REF!,#REF!,#REF!,#REF!,#REF!,#REF!,#REF!,#REF!,#REF!,#REF!,SPD!AT139,#REF!,#REF!,#REF!)</f>
        <v>0</v>
      </c>
      <c r="AU139" s="476">
        <f>CHOOSE($B$3,#REF!,#REF!,#REF!,#REF!,#REF!,#REF!,#REF!,#REF!,#REF!,#REF!,SPD!AU139,#REF!,#REF!,#REF!)</f>
        <v>0</v>
      </c>
      <c r="AV139" s="476">
        <f>CHOOSE($B$3,#REF!,#REF!,#REF!,#REF!,#REF!,#REF!,#REF!,#REF!,#REF!,#REF!,SPD!AV139,#REF!,#REF!,#REF!)</f>
        <v>0</v>
      </c>
      <c r="AW139" s="184"/>
    </row>
    <row r="140" spans="1:49" ht="16">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CHOOSE($B$3,#REF!,#REF!,#REF!,#REF!,#REF!,#REF!,#REF!,#REF!,#REF!,#REF!,SPD!AR140,#REF!,#REF!,#REF!)</f>
        <v>0</v>
      </c>
      <c r="AS140" s="476">
        <f>CHOOSE($B$3,#REF!,#REF!,#REF!,#REF!,#REF!,#REF!,#REF!,#REF!,#REF!,#REF!,SPD!AS140,#REF!,#REF!,#REF!)</f>
        <v>0</v>
      </c>
      <c r="AT140" s="476">
        <f>CHOOSE($B$3,#REF!,#REF!,#REF!,#REF!,#REF!,#REF!,#REF!,#REF!,#REF!,#REF!,SPD!AT140,#REF!,#REF!,#REF!)</f>
        <v>0</v>
      </c>
      <c r="AU140" s="476">
        <f>CHOOSE($B$3,#REF!,#REF!,#REF!,#REF!,#REF!,#REF!,#REF!,#REF!,#REF!,#REF!,SPD!AU140,#REF!,#REF!,#REF!)</f>
        <v>0</v>
      </c>
      <c r="AV140" s="476">
        <f>CHOOSE($B$3,#REF!,#REF!,#REF!,#REF!,#REF!,#REF!,#REF!,#REF!,#REF!,#REF!,SPD!AV140,#REF!,#REF!,#REF!)</f>
        <v>0</v>
      </c>
      <c r="AW140" s="184"/>
    </row>
    <row r="141" spans="1:49" ht="16">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CHOOSE($B$3,#REF!,#REF!,#REF!,#REF!,#REF!,#REF!,#REF!,#REF!,#REF!,#REF!,SPD!AR141,#REF!,#REF!,#REF!)</f>
        <v>0</v>
      </c>
      <c r="AS141" s="476">
        <f>CHOOSE($B$3,#REF!,#REF!,#REF!,#REF!,#REF!,#REF!,#REF!,#REF!,#REF!,#REF!,SPD!AS141,#REF!,#REF!,#REF!)</f>
        <v>0</v>
      </c>
      <c r="AT141" s="476">
        <f>CHOOSE($B$3,#REF!,#REF!,#REF!,#REF!,#REF!,#REF!,#REF!,#REF!,#REF!,#REF!,SPD!AT141,#REF!,#REF!,#REF!)</f>
        <v>0</v>
      </c>
      <c r="AU141" s="476">
        <f>CHOOSE($B$3,#REF!,#REF!,#REF!,#REF!,#REF!,#REF!,#REF!,#REF!,#REF!,#REF!,SPD!AU141,#REF!,#REF!,#REF!)</f>
        <v>0</v>
      </c>
      <c r="AV141" s="476">
        <f>CHOOSE($B$3,#REF!,#REF!,#REF!,#REF!,#REF!,#REF!,#REF!,#REF!,#REF!,#REF!,SPD!AV141,#REF!,#REF!,#REF!)</f>
        <v>0</v>
      </c>
      <c r="AW141" s="184"/>
    </row>
    <row r="142" spans="1:49" ht="16">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6"/>
      <c r="AS142" s="2"/>
      <c r="AT142" s="2"/>
      <c r="AU142" s="2"/>
      <c r="AV142" s="2"/>
      <c r="AW142" s="184"/>
    </row>
    <row r="143" spans="1:49" ht="16">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8"/>
      <c r="AS143" s="519"/>
      <c r="AT143" s="519"/>
      <c r="AU143" s="519"/>
      <c r="AV143" s="519"/>
      <c r="AW143" s="184"/>
    </row>
    <row r="144" spans="1:49" ht="16">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6"/>
      <c r="AS144" s="2"/>
      <c r="AT144" s="2"/>
      <c r="AU144" s="2"/>
      <c r="AV144" s="2"/>
      <c r="AW144" s="184"/>
    </row>
    <row r="145" spans="1:49" ht="16">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CHOOSE($B$3,#REF!,#REF!,#REF!,#REF!,#REF!,#REF!,#REF!,#REF!,#REF!,#REF!,SPD!AR145,#REF!,#REF!,#REF!)</f>
        <v>1.8333401822540802</v>
      </c>
      <c r="AS145" s="476">
        <f>CHOOSE($B$3,#REF!,#REF!,#REF!,#REF!,#REF!,#REF!,#REF!,#REF!,#REF!,#REF!,SPD!AS145,#REF!,#REF!,#REF!)</f>
        <v>2.0938496933435586</v>
      </c>
      <c r="AT145" s="476">
        <f>CHOOSE($B$3,#REF!,#REF!,#REF!,#REF!,#REF!,#REF!,#REF!,#REF!,#REF!,#REF!,SPD!AT145,#REF!,#REF!,#REF!)</f>
        <v>2.2903562410999618</v>
      </c>
      <c r="AU145" s="476">
        <f>CHOOSE($B$3,#REF!,#REF!,#REF!,#REF!,#REF!,#REF!,#REF!,#REF!,#REF!,#REF!,SPD!AU145,#REF!,#REF!,#REF!)</f>
        <v>2.4681083129086803</v>
      </c>
      <c r="AV145" s="476">
        <f>CHOOSE($B$3,#REF!,#REF!,#REF!,#REF!,#REF!,#REF!,#REF!,#REF!,#REF!,#REF!,SPD!AV145,#REF!,#REF!,#REF!)</f>
        <v>2.6530185011980367</v>
      </c>
      <c r="AW145" s="184"/>
    </row>
    <row r="146" spans="1:49" ht="16">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CHOOSE($B$3,#REF!,#REF!,#REF!,#REF!,#REF!,#REF!,#REF!,#REF!,#REF!,#REF!,SPD!AR146,#REF!,#REF!,#REF!)</f>
        <v>29.571536225703671</v>
      </c>
      <c r="AS146" s="476">
        <f>CHOOSE($B$3,#REF!,#REF!,#REF!,#REF!,#REF!,#REF!,#REF!,#REF!,#REF!,#REF!,SPD!AS146,#REF!,#REF!,#REF!)</f>
        <v>30.557878036508615</v>
      </c>
      <c r="AT146" s="476">
        <f>CHOOSE($B$3,#REF!,#REF!,#REF!,#REF!,#REF!,#REF!,#REF!,#REF!,#REF!,#REF!,SPD!AT146,#REF!,#REF!,#REF!)</f>
        <v>29.851648112312503</v>
      </c>
      <c r="AU146" s="476">
        <f>CHOOSE($B$3,#REF!,#REF!,#REF!,#REF!,#REF!,#REF!,#REF!,#REF!,#REF!,#REF!,SPD!AU146,#REF!,#REF!,#REF!)</f>
        <v>31.752770329363916</v>
      </c>
      <c r="AV146" s="476">
        <f>CHOOSE($B$3,#REF!,#REF!,#REF!,#REF!,#REF!,#REF!,#REF!,#REF!,#REF!,#REF!,SPD!AV146,#REF!,#REF!,#REF!)</f>
        <v>31.715960291527441</v>
      </c>
      <c r="AW146" s="184"/>
    </row>
    <row r="147" spans="1:49" ht="16">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CHOOSE($B$3,#REF!,#REF!,#REF!,#REF!,#REF!,#REF!,#REF!,#REF!,#REF!,#REF!,SPD!AR147,#REF!,#REF!,#REF!)</f>
        <v>21.237883232946224</v>
      </c>
      <c r="AS147" s="476">
        <f>CHOOSE($B$3,#REF!,#REF!,#REF!,#REF!,#REF!,#REF!,#REF!,#REF!,#REF!,#REF!,SPD!AS147,#REF!,#REF!,#REF!)</f>
        <v>22.427187906174453</v>
      </c>
      <c r="AT147" s="476">
        <f>CHOOSE($B$3,#REF!,#REF!,#REF!,#REF!,#REF!,#REF!,#REF!,#REF!,#REF!,#REF!,SPD!AT147,#REF!,#REF!,#REF!)</f>
        <v>23.356219423681853</v>
      </c>
      <c r="AU147" s="476">
        <f>CHOOSE($B$3,#REF!,#REF!,#REF!,#REF!,#REF!,#REF!,#REF!,#REF!,#REF!,#REF!,SPD!AU147,#REF!,#REF!,#REF!)</f>
        <v>23.30170328778857</v>
      </c>
      <c r="AV147" s="476">
        <f>CHOOSE($B$3,#REF!,#REF!,#REF!,#REF!,#REF!,#REF!,#REF!,#REF!,#REF!,#REF!,SPD!AV147,#REF!,#REF!,#REF!)</f>
        <v>23.243261487706626</v>
      </c>
      <c r="AW147" s="184"/>
    </row>
    <row r="148" spans="1:49" ht="16">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CHOOSE($B$3,#REF!,#REF!,#REF!,#REF!,#REF!,#REF!,#REF!,#REF!,#REF!,#REF!,SPD!AR148,#REF!,#REF!,#REF!)</f>
        <v>1.9538057913382285</v>
      </c>
      <c r="AS148" s="476">
        <f>CHOOSE($B$3,#REF!,#REF!,#REF!,#REF!,#REF!,#REF!,#REF!,#REF!,#REF!,#REF!,SPD!AS148,#REF!,#REF!,#REF!)</f>
        <v>1.748834170505932</v>
      </c>
      <c r="AT148" s="476">
        <f>CHOOSE($B$3,#REF!,#REF!,#REF!,#REF!,#REF!,#REF!,#REF!,#REF!,#REF!,#REF!,SPD!AT148,#REF!,#REF!,#REF!)</f>
        <v>2.2561863173216885</v>
      </c>
      <c r="AU148" s="476">
        <f>CHOOSE($B$3,#REF!,#REF!,#REF!,#REF!,#REF!,#REF!,#REF!,#REF!,#REF!,#REF!,SPD!AU148,#REF!,#REF!,#REF!)</f>
        <v>2.3559712047963859</v>
      </c>
      <c r="AV148" s="476">
        <f>CHOOSE($B$3,#REF!,#REF!,#REF!,#REF!,#REF!,#REF!,#REF!,#REF!,#REF!,#REF!,SPD!AV148,#REF!,#REF!,#REF!)</f>
        <v>14.621030922413503</v>
      </c>
      <c r="AW148" s="184"/>
    </row>
    <row r="149" spans="1:49" ht="16">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CHOOSE($B$3,#REF!,#REF!,#REF!,#REF!,#REF!,#REF!,#REF!,#REF!,#REF!,#REF!,SPD!AR149,#REF!,#REF!,#REF!)</f>
        <v>1.3886495382801158</v>
      </c>
      <c r="AS149" s="476">
        <f>CHOOSE($B$3,#REF!,#REF!,#REF!,#REF!,#REF!,#REF!,#REF!,#REF!,#REF!,#REF!,SPD!AS149,#REF!,#REF!,#REF!)</f>
        <v>1.1279691388708</v>
      </c>
      <c r="AT149" s="476">
        <f>CHOOSE($B$3,#REF!,#REF!,#REF!,#REF!,#REF!,#REF!,#REF!,#REF!,#REF!,#REF!,SPD!AT149,#REF!,#REF!,#REF!)</f>
        <v>1.5277685223039756</v>
      </c>
      <c r="AU149" s="476">
        <f>CHOOSE($B$3,#REF!,#REF!,#REF!,#REF!,#REF!,#REF!,#REF!,#REF!,#REF!,#REF!,SPD!AU149,#REF!,#REF!,#REF!)</f>
        <v>1.5277685223039756</v>
      </c>
      <c r="AV149" s="476">
        <f>CHOOSE($B$3,#REF!,#REF!,#REF!,#REF!,#REF!,#REF!,#REF!,#REF!,#REF!,#REF!,SPD!AV149,#REF!,#REF!,#REF!)</f>
        <v>1.5277685223039756</v>
      </c>
      <c r="AW149" s="184"/>
    </row>
    <row r="150" spans="1:49" ht="16">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CHOOSE($B$3,#REF!,#REF!,#REF!,#REF!,#REF!,#REF!,#REF!,#REF!,#REF!,#REF!,SPD!AR150,#REF!,#REF!,#REF!)</f>
        <v>0</v>
      </c>
      <c r="AS150" s="476">
        <f>CHOOSE($B$3,#REF!,#REF!,#REF!,#REF!,#REF!,#REF!,#REF!,#REF!,#REF!,#REF!,SPD!AS150,#REF!,#REF!,#REF!)</f>
        <v>0</v>
      </c>
      <c r="AT150" s="476">
        <f>CHOOSE($B$3,#REF!,#REF!,#REF!,#REF!,#REF!,#REF!,#REF!,#REF!,#REF!,#REF!,SPD!AT150,#REF!,#REF!,#REF!)</f>
        <v>0</v>
      </c>
      <c r="AU150" s="476">
        <f>CHOOSE($B$3,#REF!,#REF!,#REF!,#REF!,#REF!,#REF!,#REF!,#REF!,#REF!,#REF!,SPD!AU150,#REF!,#REF!,#REF!)</f>
        <v>0</v>
      </c>
      <c r="AV150" s="476">
        <f>CHOOSE($B$3,#REF!,#REF!,#REF!,#REF!,#REF!,#REF!,#REF!,#REF!,#REF!,#REF!,SPD!AV150,#REF!,#REF!,#REF!)</f>
        <v>0</v>
      </c>
      <c r="AW150" s="184"/>
    </row>
    <row r="151" spans="1:49" ht="16">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CHOOSE($B$3,#REF!,#REF!,#REF!,#REF!,#REF!,#REF!,#REF!,#REF!,#REF!,#REF!,SPD!AR151,#REF!,#REF!,#REF!)</f>
        <v>13.937079923818523</v>
      </c>
      <c r="AS151" s="476">
        <f>CHOOSE($B$3,#REF!,#REF!,#REF!,#REF!,#REF!,#REF!,#REF!,#REF!,#REF!,#REF!,SPD!AS151,#REF!,#REF!,#REF!)</f>
        <v>0.44379427331895704</v>
      </c>
      <c r="AT151" s="476">
        <f>CHOOSE($B$3,#REF!,#REF!,#REF!,#REF!,#REF!,#REF!,#REF!,#REF!,#REF!,#REF!,SPD!AT151,#REF!,#REF!,#REF!)</f>
        <v>-0.51997411265006177</v>
      </c>
      <c r="AU151" s="476">
        <f>CHOOSE($B$3,#REF!,#REF!,#REF!,#REF!,#REF!,#REF!,#REF!,#REF!,#REF!,#REF!,SPD!AU151,#REF!,#REF!,#REF!)</f>
        <v>-2.445119335319422</v>
      </c>
      <c r="AV151" s="476">
        <f>CHOOSE($B$3,#REF!,#REF!,#REF!,#REF!,#REF!,#REF!,#REF!,#REF!,#REF!,#REF!,SPD!AV151,#REF!,#REF!,#REF!)</f>
        <v>0</v>
      </c>
      <c r="AW151" s="184"/>
    </row>
    <row r="152" spans="1:49" ht="16">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CHOOSE($B$3,#REF!,#REF!,#REF!,#REF!,#REF!,#REF!,#REF!,#REF!,#REF!,#REF!,SPD!AR152,#REF!,#REF!,#REF!)</f>
        <v>4.1249925696201756E-2</v>
      </c>
      <c r="AS152" s="476">
        <f>CHOOSE($B$3,#REF!,#REF!,#REF!,#REF!,#REF!,#REF!,#REF!,#REF!,#REF!,#REF!,SPD!AS152,#REF!,#REF!,#REF!)</f>
        <v>0.11622045067797707</v>
      </c>
      <c r="AT152" s="476">
        <f>CHOOSE($B$3,#REF!,#REF!,#REF!,#REF!,#REF!,#REF!,#REF!,#REF!,#REF!,#REF!,SPD!AT152,#REF!,#REF!,#REF!)</f>
        <v>0</v>
      </c>
      <c r="AU152" s="476">
        <f>CHOOSE($B$3,#REF!,#REF!,#REF!,#REF!,#REF!,#REF!,#REF!,#REF!,#REF!,#REF!,SPD!AU152,#REF!,#REF!,#REF!)</f>
        <v>0</v>
      </c>
      <c r="AV152" s="476">
        <f>CHOOSE($B$3,#REF!,#REF!,#REF!,#REF!,#REF!,#REF!,#REF!,#REF!,#REF!,#REF!,SPD!AV152,#REF!,#REF!,#REF!)</f>
        <v>0</v>
      </c>
      <c r="AW152" s="184"/>
    </row>
    <row r="153" spans="1:49" ht="16">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CHOOSE($B$3,#REF!,#REF!,#REF!,#REF!,#REF!,#REF!,#REF!,#REF!,#REF!,#REF!,SPD!AR153,#REF!,#REF!,#REF!)</f>
        <v>29.993191576581179</v>
      </c>
      <c r="AS153" s="476">
        <f>CHOOSE($B$3,#REF!,#REF!,#REF!,#REF!,#REF!,#REF!,#REF!,#REF!,#REF!,#REF!,SPD!AS153,#REF!,#REF!,#REF!)</f>
        <v>-5.75</v>
      </c>
      <c r="AT153" s="476">
        <f>CHOOSE($B$3,#REF!,#REF!,#REF!,#REF!,#REF!,#REF!,#REF!,#REF!,#REF!,#REF!,SPD!AT153,#REF!,#REF!,#REF!)</f>
        <v>-5.75</v>
      </c>
      <c r="AU153" s="476">
        <f>CHOOSE($B$3,#REF!,#REF!,#REF!,#REF!,#REF!,#REF!,#REF!,#REF!,#REF!,#REF!,SPD!AU153,#REF!,#REF!,#REF!)</f>
        <v>-5.75</v>
      </c>
      <c r="AV153" s="476">
        <f>CHOOSE($B$3,#REF!,#REF!,#REF!,#REF!,#REF!,#REF!,#REF!,#REF!,#REF!,#REF!,SPD!AV153,#REF!,#REF!,#REF!)</f>
        <v>-5.7448273360144393</v>
      </c>
      <c r="AW153" s="184"/>
    </row>
    <row r="154" spans="1:49" ht="16">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CHOOSE($B$3,#REF!,#REF!,#REF!,#REF!,#REF!,#REF!,#REF!,#REF!,#REF!,#REF!,SPD!AR154,#REF!,#REF!,#REF!)</f>
        <v>0</v>
      </c>
      <c r="AS154" s="476">
        <f>CHOOSE($B$3,#REF!,#REF!,#REF!,#REF!,#REF!,#REF!,#REF!,#REF!,#REF!,#REF!,SPD!AS154,#REF!,#REF!,#REF!)</f>
        <v>0</v>
      </c>
      <c r="AT154" s="476">
        <f>CHOOSE($B$3,#REF!,#REF!,#REF!,#REF!,#REF!,#REF!,#REF!,#REF!,#REF!,#REF!,SPD!AT154,#REF!,#REF!,#REF!)</f>
        <v>0</v>
      </c>
      <c r="AU154" s="476">
        <f>CHOOSE($B$3,#REF!,#REF!,#REF!,#REF!,#REF!,#REF!,#REF!,#REF!,#REF!,#REF!,SPD!AU154,#REF!,#REF!,#REF!)</f>
        <v>0</v>
      </c>
      <c r="AV154" s="476">
        <f>CHOOSE($B$3,#REF!,#REF!,#REF!,#REF!,#REF!,#REF!,#REF!,#REF!,#REF!,#REF!,SPD!AV154,#REF!,#REF!,#REF!)</f>
        <v>0</v>
      </c>
      <c r="AW154" s="184"/>
    </row>
    <row r="155" spans="1:49" ht="16">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CHOOSE($B$3,#REF!,#REF!,#REF!,#REF!,#REF!,#REF!,#REF!,#REF!,#REF!,#REF!,SPD!AR155,#REF!,#REF!,#REF!)</f>
        <v>0</v>
      </c>
      <c r="AS155" s="476">
        <f>CHOOSE($B$3,#REF!,#REF!,#REF!,#REF!,#REF!,#REF!,#REF!,#REF!,#REF!,#REF!,SPD!AS155,#REF!,#REF!,#REF!)</f>
        <v>0</v>
      </c>
      <c r="AT155" s="476">
        <f>CHOOSE($B$3,#REF!,#REF!,#REF!,#REF!,#REF!,#REF!,#REF!,#REF!,#REF!,#REF!,SPD!AT155,#REF!,#REF!,#REF!)</f>
        <v>0</v>
      </c>
      <c r="AU155" s="476">
        <f>CHOOSE($B$3,#REF!,#REF!,#REF!,#REF!,#REF!,#REF!,#REF!,#REF!,#REF!,#REF!,SPD!AU155,#REF!,#REF!,#REF!)</f>
        <v>0</v>
      </c>
      <c r="AV155" s="476">
        <f>CHOOSE($B$3,#REF!,#REF!,#REF!,#REF!,#REF!,#REF!,#REF!,#REF!,#REF!,#REF!,SPD!AV155,#REF!,#REF!,#REF!)</f>
        <v>0</v>
      </c>
      <c r="AW155" s="184"/>
    </row>
    <row r="156" spans="1:49" ht="16">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CHOOSE($B$3,#REF!,#REF!,#REF!,#REF!,#REF!,#REF!,#REF!,#REF!,#REF!,#REF!,SPD!AR156,#REF!,#REF!,#REF!)</f>
        <v>0</v>
      </c>
      <c r="AS156" s="476">
        <f>CHOOSE($B$3,#REF!,#REF!,#REF!,#REF!,#REF!,#REF!,#REF!,#REF!,#REF!,#REF!,SPD!AS156,#REF!,#REF!,#REF!)</f>
        <v>0</v>
      </c>
      <c r="AT156" s="476">
        <f>CHOOSE($B$3,#REF!,#REF!,#REF!,#REF!,#REF!,#REF!,#REF!,#REF!,#REF!,#REF!,SPD!AT156,#REF!,#REF!,#REF!)</f>
        <v>0</v>
      </c>
      <c r="AU156" s="476">
        <f>CHOOSE($B$3,#REF!,#REF!,#REF!,#REF!,#REF!,#REF!,#REF!,#REF!,#REF!,#REF!,SPD!AU156,#REF!,#REF!,#REF!)</f>
        <v>0</v>
      </c>
      <c r="AV156" s="476">
        <f>CHOOSE($B$3,#REF!,#REF!,#REF!,#REF!,#REF!,#REF!,#REF!,#REF!,#REF!,#REF!,SPD!AV156,#REF!,#REF!,#REF!)</f>
        <v>0</v>
      </c>
      <c r="AW156" s="184"/>
    </row>
    <row r="157" spans="1:49" ht="16">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CHOOSE($B$3,#REF!,#REF!,#REF!,#REF!,#REF!,#REF!,#REF!,#REF!,#REF!,#REF!,SPD!AR157,#REF!,#REF!,#REF!)</f>
        <v>0</v>
      </c>
      <c r="AS157" s="476">
        <f>CHOOSE($B$3,#REF!,#REF!,#REF!,#REF!,#REF!,#REF!,#REF!,#REF!,#REF!,#REF!,SPD!AS157,#REF!,#REF!,#REF!)</f>
        <v>0</v>
      </c>
      <c r="AT157" s="476">
        <f>CHOOSE($B$3,#REF!,#REF!,#REF!,#REF!,#REF!,#REF!,#REF!,#REF!,#REF!,#REF!,SPD!AT157,#REF!,#REF!,#REF!)</f>
        <v>0</v>
      </c>
      <c r="AU157" s="476">
        <f>CHOOSE($B$3,#REF!,#REF!,#REF!,#REF!,#REF!,#REF!,#REF!,#REF!,#REF!,#REF!,SPD!AU157,#REF!,#REF!,#REF!)</f>
        <v>0</v>
      </c>
      <c r="AV157" s="476">
        <f>CHOOSE($B$3,#REF!,#REF!,#REF!,#REF!,#REF!,#REF!,#REF!,#REF!,#REF!,#REF!,SPD!AV157,#REF!,#REF!,#REF!)</f>
        <v>0</v>
      </c>
      <c r="AW157" s="184"/>
    </row>
    <row r="158" spans="1:49" ht="16">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CHOOSE($B$3,#REF!,#REF!,#REF!,#REF!,#REF!,#REF!,#REF!,#REF!,#REF!,#REF!,SPD!AR158,#REF!,#REF!,#REF!)</f>
        <v>0</v>
      </c>
      <c r="AS158" s="476">
        <f>CHOOSE($B$3,#REF!,#REF!,#REF!,#REF!,#REF!,#REF!,#REF!,#REF!,#REF!,#REF!,SPD!AS158,#REF!,#REF!,#REF!)</f>
        <v>0</v>
      </c>
      <c r="AT158" s="476">
        <f>CHOOSE($B$3,#REF!,#REF!,#REF!,#REF!,#REF!,#REF!,#REF!,#REF!,#REF!,#REF!,SPD!AT158,#REF!,#REF!,#REF!)</f>
        <v>0</v>
      </c>
      <c r="AU158" s="476">
        <f>CHOOSE($B$3,#REF!,#REF!,#REF!,#REF!,#REF!,#REF!,#REF!,#REF!,#REF!,#REF!,SPD!AU158,#REF!,#REF!,#REF!)</f>
        <v>0</v>
      </c>
      <c r="AV158" s="476">
        <f>CHOOSE($B$3,#REF!,#REF!,#REF!,#REF!,#REF!,#REF!,#REF!,#REF!,#REF!,#REF!,SPD!AV158,#REF!,#REF!,#REF!)</f>
        <v>0</v>
      </c>
      <c r="AW158" s="184"/>
    </row>
    <row r="159" spans="1:49" ht="16">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6"/>
      <c r="AS159" s="2"/>
      <c r="AT159" s="2"/>
      <c r="AU159" s="2"/>
      <c r="AV159" s="2"/>
      <c r="AW159" s="184"/>
    </row>
    <row r="160" spans="1:49" ht="16">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8"/>
      <c r="AS160" s="519"/>
      <c r="AT160" s="519"/>
      <c r="AU160" s="519"/>
      <c r="AV160" s="519"/>
      <c r="AW160" s="184"/>
    </row>
    <row r="161" spans="1:49" ht="16">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6"/>
      <c r="AS161" s="2"/>
      <c r="AT161" s="2"/>
      <c r="AU161" s="2"/>
      <c r="AV161" s="2"/>
      <c r="AW161" s="184"/>
    </row>
    <row r="162" spans="1:49" ht="16">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CHOOSE($B$3,#REF!,#REF!,#REF!,#REF!,#REF!,#REF!,#REF!,#REF!,#REF!,#REF!,SPD!AR162,#REF!,#REF!,#REF!)</f>
        <v>0.31977678575002372</v>
      </c>
      <c r="AS162" s="476">
        <f>CHOOSE($B$3,#REF!,#REF!,#REF!,#REF!,#REF!,#REF!,#REF!,#REF!,#REF!,#REF!,SPD!AS162,#REF!,#REF!,#REF!)</f>
        <v>0.7221382044515865</v>
      </c>
      <c r="AT162" s="476">
        <f>CHOOSE($B$3,#REF!,#REF!,#REF!,#REF!,#REF!,#REF!,#REF!,#REF!,#REF!,#REF!,SPD!AT162,#REF!,#REF!,#REF!)</f>
        <v>0.94190481339973209</v>
      </c>
      <c r="AU162" s="476">
        <f>CHOOSE($B$3,#REF!,#REF!,#REF!,#REF!,#REF!,#REF!,#REF!,#REF!,#REF!,#REF!,SPD!AU162,#REF!,#REF!,#REF!)</f>
        <v>0.43632869999999979</v>
      </c>
      <c r="AV162" s="476">
        <f>CHOOSE($B$3,#REF!,#REF!,#REF!,#REF!,#REF!,#REF!,#REF!,#REF!,#REF!,#REF!,SPD!AV162,#REF!,#REF!,#REF!)</f>
        <v>0.43632869999999979</v>
      </c>
      <c r="AW162" s="184"/>
    </row>
    <row r="163" spans="1:49" ht="16">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CHOOSE($B$3,#REF!,#REF!,#REF!,#REF!,#REF!,#REF!,#REF!,#REF!,#REF!,#REF!,SPD!AR163,#REF!,#REF!,#REF!)</f>
        <v>0.55217773458555719</v>
      </c>
      <c r="AS163" s="476">
        <f>CHOOSE($B$3,#REF!,#REF!,#REF!,#REF!,#REF!,#REF!,#REF!,#REF!,#REF!,#REF!,SPD!AS163,#REF!,#REF!,#REF!)</f>
        <v>0.76234246943237083</v>
      </c>
      <c r="AT163" s="476">
        <f>CHOOSE($B$3,#REF!,#REF!,#REF!,#REF!,#REF!,#REF!,#REF!,#REF!,#REF!,#REF!,SPD!AT163,#REF!,#REF!,#REF!)</f>
        <v>1.2147947383738646</v>
      </c>
      <c r="AU163" s="476">
        <f>CHOOSE($B$3,#REF!,#REF!,#REF!,#REF!,#REF!,#REF!,#REF!,#REF!,#REF!,#REF!,SPD!AU163,#REF!,#REF!,#REF!)</f>
        <v>2.7972000000000112</v>
      </c>
      <c r="AV163" s="476">
        <f>CHOOSE($B$3,#REF!,#REF!,#REF!,#REF!,#REF!,#REF!,#REF!,#REF!,#REF!,#REF!,SPD!AV163,#REF!,#REF!,#REF!)</f>
        <v>3.323</v>
      </c>
      <c r="AW163" s="184"/>
    </row>
    <row r="164" spans="1:49" ht="16">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CHOOSE($B$3,#REF!,#REF!,#REF!,#REF!,#REF!,#REF!,#REF!,#REF!,#REF!,#REF!,SPD!AR164,#REF!,#REF!,#REF!)</f>
        <v>2.9376707218293099</v>
      </c>
      <c r="AS164" s="476">
        <f>CHOOSE($B$3,#REF!,#REF!,#REF!,#REF!,#REF!,#REF!,#REF!,#REF!,#REF!,#REF!,SPD!AS164,#REF!,#REF!,#REF!)</f>
        <v>2.7283043517612438</v>
      </c>
      <c r="AT164" s="476">
        <f>CHOOSE($B$3,#REF!,#REF!,#REF!,#REF!,#REF!,#REF!,#REF!,#REF!,#REF!,#REF!,SPD!AT164,#REF!,#REF!,#REF!)</f>
        <v>3.0301033943281035</v>
      </c>
      <c r="AU164" s="476">
        <f>CHOOSE($B$3,#REF!,#REF!,#REF!,#REF!,#REF!,#REF!,#REF!,#REF!,#REF!,#REF!,SPD!AU164,#REF!,#REF!,#REF!)</f>
        <v>1.255965</v>
      </c>
      <c r="AV164" s="476">
        <f>CHOOSE($B$3,#REF!,#REF!,#REF!,#REF!,#REF!,#REF!,#REF!,#REF!,#REF!,#REF!,SPD!AV164,#REF!,#REF!,#REF!)</f>
        <v>1.2535799999999999</v>
      </c>
      <c r="AW164" s="184"/>
    </row>
    <row r="165" spans="1:49" ht="16">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CHOOSE($B$3,#REF!,#REF!,#REF!,#REF!,#REF!,#REF!,#REF!,#REF!,#REF!,#REF!,SPD!AR165,#REF!,#REF!,#REF!)</f>
        <v>0</v>
      </c>
      <c r="AS165" s="476">
        <f>CHOOSE($B$3,#REF!,#REF!,#REF!,#REF!,#REF!,#REF!,#REF!,#REF!,#REF!,#REF!,SPD!AS165,#REF!,#REF!,#REF!)</f>
        <v>0</v>
      </c>
      <c r="AT165" s="476">
        <f>CHOOSE($B$3,#REF!,#REF!,#REF!,#REF!,#REF!,#REF!,#REF!,#REF!,#REF!,#REF!,SPD!AT165,#REF!,#REF!,#REF!)</f>
        <v>0</v>
      </c>
      <c r="AU165" s="476">
        <f>CHOOSE($B$3,#REF!,#REF!,#REF!,#REF!,#REF!,#REF!,#REF!,#REF!,#REF!,#REF!,SPD!AU165,#REF!,#REF!,#REF!)</f>
        <v>0</v>
      </c>
      <c r="AV165" s="476">
        <f>CHOOSE($B$3,#REF!,#REF!,#REF!,#REF!,#REF!,#REF!,#REF!,#REF!,#REF!,#REF!,SPD!AV165,#REF!,#REF!,#REF!)</f>
        <v>0</v>
      </c>
      <c r="AW165" s="184"/>
    </row>
    <row r="166" spans="1:49" ht="16">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CHOOSE($B$3,#REF!,#REF!,#REF!,#REF!,#REF!,#REF!,#REF!,#REF!,#REF!,#REF!,SPD!AR166,#REF!,#REF!,#REF!)</f>
        <v>0</v>
      </c>
      <c r="AS166" s="476">
        <f>CHOOSE($B$3,#REF!,#REF!,#REF!,#REF!,#REF!,#REF!,#REF!,#REF!,#REF!,#REF!,SPD!AS166,#REF!,#REF!,#REF!)</f>
        <v>1.661</v>
      </c>
      <c r="AT166" s="476">
        <f>CHOOSE($B$3,#REF!,#REF!,#REF!,#REF!,#REF!,#REF!,#REF!,#REF!,#REF!,#REF!,SPD!AT166,#REF!,#REF!,#REF!)</f>
        <v>0</v>
      </c>
      <c r="AU166" s="476">
        <f>CHOOSE($B$3,#REF!,#REF!,#REF!,#REF!,#REF!,#REF!,#REF!,#REF!,#REF!,#REF!,SPD!AU166,#REF!,#REF!,#REF!)</f>
        <v>0</v>
      </c>
      <c r="AV166" s="476">
        <f>CHOOSE($B$3,#REF!,#REF!,#REF!,#REF!,#REF!,#REF!,#REF!,#REF!,#REF!,#REF!,SPD!AV166,#REF!,#REF!,#REF!)</f>
        <v>4.9174060964104758</v>
      </c>
      <c r="AW166" s="184"/>
    </row>
    <row r="167" spans="1:49" ht="16">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CHOOSE($B$3,#REF!,#REF!,#REF!,#REF!,#REF!,#REF!,#REF!,#REF!,#REF!,#REF!,SPD!AR167,#REF!,#REF!,#REF!)</f>
        <v>0.28267199999999998</v>
      </c>
      <c r="AS167" s="476">
        <f>CHOOSE($B$3,#REF!,#REF!,#REF!,#REF!,#REF!,#REF!,#REF!,#REF!,#REF!,#REF!,SPD!AS167,#REF!,#REF!,#REF!)</f>
        <v>1.7274800000000001</v>
      </c>
      <c r="AT167" s="476">
        <f>CHOOSE($B$3,#REF!,#REF!,#REF!,#REF!,#REF!,#REF!,#REF!,#REF!,#REF!,#REF!,SPD!AT167,#REF!,#REF!,#REF!)</f>
        <v>0</v>
      </c>
      <c r="AU167" s="476">
        <f>CHOOSE($B$3,#REF!,#REF!,#REF!,#REF!,#REF!,#REF!,#REF!,#REF!,#REF!,#REF!,SPD!AU167,#REF!,#REF!,#REF!)</f>
        <v>0</v>
      </c>
      <c r="AV167" s="476">
        <f>CHOOSE($B$3,#REF!,#REF!,#REF!,#REF!,#REF!,#REF!,#REF!,#REF!,#REF!,#REF!,SPD!AV167,#REF!,#REF!,#REF!)</f>
        <v>0</v>
      </c>
      <c r="AW167" s="184"/>
    </row>
    <row r="168" spans="1:49" ht="16">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CHOOSE($B$3,#REF!,#REF!,#REF!,#REF!,#REF!,#REF!,#REF!,#REF!,#REF!,#REF!,SPD!AR168,#REF!,#REF!,#REF!)</f>
        <v>0</v>
      </c>
      <c r="AS168" s="476">
        <f>CHOOSE($B$3,#REF!,#REF!,#REF!,#REF!,#REF!,#REF!,#REF!,#REF!,#REF!,#REF!,SPD!AS168,#REF!,#REF!,#REF!)</f>
        <v>0</v>
      </c>
      <c r="AT168" s="476">
        <f>CHOOSE($B$3,#REF!,#REF!,#REF!,#REF!,#REF!,#REF!,#REF!,#REF!,#REF!,#REF!,SPD!AT168,#REF!,#REF!,#REF!)</f>
        <v>0</v>
      </c>
      <c r="AU168" s="476">
        <f>CHOOSE($B$3,#REF!,#REF!,#REF!,#REF!,#REF!,#REF!,#REF!,#REF!,#REF!,#REF!,SPD!AU168,#REF!,#REF!,#REF!)</f>
        <v>0</v>
      </c>
      <c r="AV168" s="476">
        <f>CHOOSE($B$3,#REF!,#REF!,#REF!,#REF!,#REF!,#REF!,#REF!,#REF!,#REF!,#REF!,SPD!AV168,#REF!,#REF!,#REF!)</f>
        <v>0</v>
      </c>
      <c r="AW168" s="184"/>
    </row>
    <row r="169" spans="1:49" ht="16">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CHOOSE($B$3,#REF!,#REF!,#REF!,#REF!,#REF!,#REF!,#REF!,#REF!,#REF!,#REF!,SPD!AR169,#REF!,#REF!,#REF!)</f>
        <v>0</v>
      </c>
      <c r="AS169" s="476">
        <f>CHOOSE($B$3,#REF!,#REF!,#REF!,#REF!,#REF!,#REF!,#REF!,#REF!,#REF!,#REF!,SPD!AS169,#REF!,#REF!,#REF!)</f>
        <v>0</v>
      </c>
      <c r="AT169" s="476">
        <f>CHOOSE($B$3,#REF!,#REF!,#REF!,#REF!,#REF!,#REF!,#REF!,#REF!,#REF!,#REF!,SPD!AT169,#REF!,#REF!,#REF!)</f>
        <v>0</v>
      </c>
      <c r="AU169" s="476">
        <f>CHOOSE($B$3,#REF!,#REF!,#REF!,#REF!,#REF!,#REF!,#REF!,#REF!,#REF!,#REF!,SPD!AU169,#REF!,#REF!,#REF!)</f>
        <v>0</v>
      </c>
      <c r="AV169" s="476">
        <f>CHOOSE($B$3,#REF!,#REF!,#REF!,#REF!,#REF!,#REF!,#REF!,#REF!,#REF!,#REF!,SPD!AV169,#REF!,#REF!,#REF!)</f>
        <v>0</v>
      </c>
      <c r="AW169" s="184"/>
    </row>
    <row r="170" spans="1:49" ht="16">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CHOOSE($B$3,#REF!,#REF!,#REF!,#REF!,#REF!,#REF!,#REF!,#REF!,#REF!,#REF!,SPD!AR170,#REF!,#REF!,#REF!)</f>
        <v>0</v>
      </c>
      <c r="AS170" s="476">
        <f>CHOOSE($B$3,#REF!,#REF!,#REF!,#REF!,#REF!,#REF!,#REF!,#REF!,#REF!,#REF!,SPD!AS170,#REF!,#REF!,#REF!)</f>
        <v>0</v>
      </c>
      <c r="AT170" s="476">
        <f>CHOOSE($B$3,#REF!,#REF!,#REF!,#REF!,#REF!,#REF!,#REF!,#REF!,#REF!,#REF!,SPD!AT170,#REF!,#REF!,#REF!)</f>
        <v>0</v>
      </c>
      <c r="AU170" s="476">
        <f>CHOOSE($B$3,#REF!,#REF!,#REF!,#REF!,#REF!,#REF!,#REF!,#REF!,#REF!,#REF!,SPD!AU170,#REF!,#REF!,#REF!)</f>
        <v>0</v>
      </c>
      <c r="AV170" s="476">
        <f>CHOOSE($B$3,#REF!,#REF!,#REF!,#REF!,#REF!,#REF!,#REF!,#REF!,#REF!,#REF!,SPD!AV170,#REF!,#REF!,#REF!)</f>
        <v>0</v>
      </c>
      <c r="AW170" s="184"/>
    </row>
    <row r="171" spans="1:49" ht="16">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CHOOSE($B$3,#REF!,#REF!,#REF!,#REF!,#REF!,#REF!,#REF!,#REF!,#REF!,#REF!,SPD!AR171,#REF!,#REF!,#REF!)</f>
        <v>0</v>
      </c>
      <c r="AS171" s="476">
        <f>CHOOSE($B$3,#REF!,#REF!,#REF!,#REF!,#REF!,#REF!,#REF!,#REF!,#REF!,#REF!,SPD!AS171,#REF!,#REF!,#REF!)</f>
        <v>0</v>
      </c>
      <c r="AT171" s="476">
        <f>CHOOSE($B$3,#REF!,#REF!,#REF!,#REF!,#REF!,#REF!,#REF!,#REF!,#REF!,#REF!,SPD!AT171,#REF!,#REF!,#REF!)</f>
        <v>0</v>
      </c>
      <c r="AU171" s="476">
        <f>CHOOSE($B$3,#REF!,#REF!,#REF!,#REF!,#REF!,#REF!,#REF!,#REF!,#REF!,#REF!,SPD!AU171,#REF!,#REF!,#REF!)</f>
        <v>0</v>
      </c>
      <c r="AV171" s="476">
        <f>CHOOSE($B$3,#REF!,#REF!,#REF!,#REF!,#REF!,#REF!,#REF!,#REF!,#REF!,#REF!,SPD!AV171,#REF!,#REF!,#REF!)</f>
        <v>0</v>
      </c>
      <c r="AW171" s="184"/>
    </row>
    <row r="172" spans="1:49" ht="16">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6"/>
      <c r="AS172" s="2"/>
      <c r="AT172" s="2"/>
      <c r="AU172" s="2"/>
      <c r="AV172" s="2"/>
      <c r="AW172" s="184"/>
    </row>
    <row r="173" spans="1:49" ht="16">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CHOOSE($B$3,#REF!,#REF!,#REF!,#REF!,#REF!,#REF!,#REF!,#REF!,#REF!,#REF!,SPD!AR173,#REF!,#REF!,#REF!)</f>
        <v>0</v>
      </c>
      <c r="AS173" s="476">
        <f>CHOOSE($B$3,#REF!,#REF!,#REF!,#REF!,#REF!,#REF!,#REF!,#REF!,#REF!,#REF!,SPD!AS173,#REF!,#REF!,#REF!)</f>
        <v>0</v>
      </c>
      <c r="AT173" s="476">
        <f>CHOOSE($B$3,#REF!,#REF!,#REF!,#REF!,#REF!,#REF!,#REF!,#REF!,#REF!,#REF!,SPD!AT173,#REF!,#REF!,#REF!)</f>
        <v>0</v>
      </c>
      <c r="AU173" s="476">
        <f>CHOOSE($B$3,#REF!,#REF!,#REF!,#REF!,#REF!,#REF!,#REF!,#REF!,#REF!,#REF!,SPD!AU173,#REF!,#REF!,#REF!)</f>
        <v>0</v>
      </c>
      <c r="AV173" s="476">
        <f>CHOOSE($B$3,#REF!,#REF!,#REF!,#REF!,#REF!,#REF!,#REF!,#REF!,#REF!,#REF!,SPD!AV173,#REF!,#REF!,#REF!)</f>
        <v>0</v>
      </c>
      <c r="AW173" s="184"/>
    </row>
    <row r="174" spans="1:49" ht="16">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6"/>
      <c r="AS174" s="2"/>
      <c r="AT174" s="2"/>
      <c r="AU174" s="2"/>
      <c r="AV174" s="2"/>
      <c r="AW174" s="184"/>
    </row>
    <row r="175" spans="1:49" ht="16">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8"/>
      <c r="AS175" s="519"/>
      <c r="AT175" s="519"/>
      <c r="AU175" s="519"/>
      <c r="AV175" s="519"/>
      <c r="AW175" s="184"/>
    </row>
    <row r="176" spans="1:49" ht="16">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6"/>
      <c r="AS176" s="2"/>
      <c r="AT176" s="2"/>
      <c r="AU176" s="2"/>
      <c r="AV176" s="2"/>
      <c r="AW176" s="184"/>
    </row>
    <row r="177" spans="1:49" ht="16">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CHOOSE($B$3,#REF!,#REF!,#REF!,#REF!,#REF!,#REF!,#REF!,#REF!,#REF!,#REF!,SPD!AR177,#REF!,#REF!,#REF!)</f>
        <v>7.8688423294344736E-2</v>
      </c>
      <c r="AS177" s="476">
        <f>CHOOSE($B$3,#REF!,#REF!,#REF!,#REF!,#REF!,#REF!,#REF!,#REF!,#REF!,#REF!,SPD!AS177,#REF!,#REF!,#REF!)</f>
        <v>0.92604130218589942</v>
      </c>
      <c r="AT177" s="476">
        <f>CHOOSE($B$3,#REF!,#REF!,#REF!,#REF!,#REF!,#REF!,#REF!,#REF!,#REF!,#REF!,SPD!AT177,#REF!,#REF!,#REF!)</f>
        <v>4.8952702745197563</v>
      </c>
      <c r="AU177" s="476">
        <f>CHOOSE($B$3,#REF!,#REF!,#REF!,#REF!,#REF!,#REF!,#REF!,#REF!,#REF!,#REF!,SPD!AU177,#REF!,#REF!,#REF!)</f>
        <v>0</v>
      </c>
      <c r="AV177" s="476">
        <f>CHOOSE($B$3,#REF!,#REF!,#REF!,#REF!,#REF!,#REF!,#REF!,#REF!,#REF!,#REF!,SPD!AV177,#REF!,#REF!,#REF!)</f>
        <v>0</v>
      </c>
      <c r="AW177" s="184"/>
    </row>
    <row r="178" spans="1:49" ht="16">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CHOOSE($B$3,#REF!,#REF!,#REF!,#REF!,#REF!,#REF!,#REF!,#REF!,#REF!,#REF!,SPD!AR178,#REF!,#REF!,#REF!)</f>
        <v>0.93376716759334188</v>
      </c>
      <c r="AS178" s="476">
        <f>CHOOSE($B$3,#REF!,#REF!,#REF!,#REF!,#REF!,#REF!,#REF!,#REF!,#REF!,#REF!,SPD!AS178,#REF!,#REF!,#REF!)</f>
        <v>0</v>
      </c>
      <c r="AT178" s="476">
        <f>CHOOSE($B$3,#REF!,#REF!,#REF!,#REF!,#REF!,#REF!,#REF!,#REF!,#REF!,#REF!,SPD!AT178,#REF!,#REF!,#REF!)</f>
        <v>0</v>
      </c>
      <c r="AU178" s="476">
        <f>CHOOSE($B$3,#REF!,#REF!,#REF!,#REF!,#REF!,#REF!,#REF!,#REF!,#REF!,#REF!,SPD!AU178,#REF!,#REF!,#REF!)</f>
        <v>0</v>
      </c>
      <c r="AV178" s="476">
        <f>CHOOSE($B$3,#REF!,#REF!,#REF!,#REF!,#REF!,#REF!,#REF!,#REF!,#REF!,#REF!,SPD!AV178,#REF!,#REF!,#REF!)</f>
        <v>0</v>
      </c>
      <c r="AW178" s="184"/>
    </row>
    <row r="179" spans="1:49" ht="16">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CHOOSE($B$3,#REF!,#REF!,#REF!,#REF!,#REF!,#REF!,#REF!,#REF!,#REF!,#REF!,SPD!AR179,#REF!,#REF!,#REF!)</f>
        <v>0</v>
      </c>
      <c r="AS179" s="476">
        <f>CHOOSE($B$3,#REF!,#REF!,#REF!,#REF!,#REF!,#REF!,#REF!,#REF!,#REF!,#REF!,SPD!AS179,#REF!,#REF!,#REF!)</f>
        <v>0</v>
      </c>
      <c r="AT179" s="476">
        <f>CHOOSE($B$3,#REF!,#REF!,#REF!,#REF!,#REF!,#REF!,#REF!,#REF!,#REF!,#REF!,SPD!AT179,#REF!,#REF!,#REF!)</f>
        <v>0</v>
      </c>
      <c r="AU179" s="476">
        <f>CHOOSE($B$3,#REF!,#REF!,#REF!,#REF!,#REF!,#REF!,#REF!,#REF!,#REF!,#REF!,SPD!AU179,#REF!,#REF!,#REF!)</f>
        <v>0</v>
      </c>
      <c r="AV179" s="476">
        <f>CHOOSE($B$3,#REF!,#REF!,#REF!,#REF!,#REF!,#REF!,#REF!,#REF!,#REF!,#REF!,SPD!AV179,#REF!,#REF!,#REF!)</f>
        <v>0</v>
      </c>
      <c r="AW179" s="184"/>
    </row>
    <row r="180" spans="1:49" ht="16">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CHOOSE($B$3,#REF!,#REF!,#REF!,#REF!,#REF!,#REF!,#REF!,#REF!,#REF!,#REF!,SPD!AR180,#REF!,#REF!,#REF!)</f>
        <v>0</v>
      </c>
      <c r="AS180" s="476">
        <f>CHOOSE($B$3,#REF!,#REF!,#REF!,#REF!,#REF!,#REF!,#REF!,#REF!,#REF!,#REF!,SPD!AS180,#REF!,#REF!,#REF!)</f>
        <v>0</v>
      </c>
      <c r="AT180" s="476">
        <f>CHOOSE($B$3,#REF!,#REF!,#REF!,#REF!,#REF!,#REF!,#REF!,#REF!,#REF!,#REF!,SPD!AT180,#REF!,#REF!,#REF!)</f>
        <v>0</v>
      </c>
      <c r="AU180" s="476">
        <f>CHOOSE($B$3,#REF!,#REF!,#REF!,#REF!,#REF!,#REF!,#REF!,#REF!,#REF!,#REF!,SPD!AU180,#REF!,#REF!,#REF!)</f>
        <v>0</v>
      </c>
      <c r="AV180" s="476">
        <f>CHOOSE($B$3,#REF!,#REF!,#REF!,#REF!,#REF!,#REF!,#REF!,#REF!,#REF!,#REF!,SPD!AV180,#REF!,#REF!,#REF!)</f>
        <v>0</v>
      </c>
      <c r="AW180" s="184"/>
    </row>
    <row r="181" spans="1:49" ht="16">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CHOOSE($B$3,#REF!,#REF!,#REF!,#REF!,#REF!,#REF!,#REF!,#REF!,#REF!,#REF!,SPD!AR181,#REF!,#REF!,#REF!)</f>
        <v>0</v>
      </c>
      <c r="AS181" s="476">
        <f>CHOOSE($B$3,#REF!,#REF!,#REF!,#REF!,#REF!,#REF!,#REF!,#REF!,#REF!,#REF!,SPD!AS181,#REF!,#REF!,#REF!)</f>
        <v>0</v>
      </c>
      <c r="AT181" s="476">
        <f>CHOOSE($B$3,#REF!,#REF!,#REF!,#REF!,#REF!,#REF!,#REF!,#REF!,#REF!,#REF!,SPD!AT181,#REF!,#REF!,#REF!)</f>
        <v>0</v>
      </c>
      <c r="AU181" s="476">
        <f>CHOOSE($B$3,#REF!,#REF!,#REF!,#REF!,#REF!,#REF!,#REF!,#REF!,#REF!,#REF!,SPD!AU181,#REF!,#REF!,#REF!)</f>
        <v>0</v>
      </c>
      <c r="AV181" s="476">
        <f>CHOOSE($B$3,#REF!,#REF!,#REF!,#REF!,#REF!,#REF!,#REF!,#REF!,#REF!,#REF!,SPD!AV181,#REF!,#REF!,#REF!)</f>
        <v>0</v>
      </c>
      <c r="AW181" s="184"/>
    </row>
    <row r="182" spans="1:49" ht="16">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CHOOSE($B$3,#REF!,#REF!,#REF!,#REF!,#REF!,#REF!,#REF!,#REF!,#REF!,#REF!,SPD!AR182,#REF!,#REF!,#REF!)</f>
        <v>0</v>
      </c>
      <c r="AS182" s="476">
        <f>CHOOSE($B$3,#REF!,#REF!,#REF!,#REF!,#REF!,#REF!,#REF!,#REF!,#REF!,#REF!,SPD!AS182,#REF!,#REF!,#REF!)</f>
        <v>0</v>
      </c>
      <c r="AT182" s="476">
        <f>CHOOSE($B$3,#REF!,#REF!,#REF!,#REF!,#REF!,#REF!,#REF!,#REF!,#REF!,#REF!,SPD!AT182,#REF!,#REF!,#REF!)</f>
        <v>0</v>
      </c>
      <c r="AU182" s="476">
        <f>CHOOSE($B$3,#REF!,#REF!,#REF!,#REF!,#REF!,#REF!,#REF!,#REF!,#REF!,#REF!,SPD!AU182,#REF!,#REF!,#REF!)</f>
        <v>0</v>
      </c>
      <c r="AV182" s="476">
        <f>CHOOSE($B$3,#REF!,#REF!,#REF!,#REF!,#REF!,#REF!,#REF!,#REF!,#REF!,#REF!,SPD!AV182,#REF!,#REF!,#REF!)</f>
        <v>0</v>
      </c>
      <c r="AW182" s="184"/>
    </row>
    <row r="183" spans="1:49" ht="16">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CHOOSE($B$3,#REF!,#REF!,#REF!,#REF!,#REF!,#REF!,#REF!,#REF!,#REF!,#REF!,SPD!AR184,#REF!,#REF!,#REF!)</f>
        <v>1.111111</v>
      </c>
      <c r="AS184" s="207"/>
      <c r="AT184" s="207"/>
      <c r="AU184" s="207"/>
      <c r="AV184" s="207"/>
      <c r="AW184" s="184"/>
    </row>
    <row r="185" spans="1:49" ht="16">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CHOOSE($B$3,#REF!,#REF!,#REF!,#REF!,#REF!,#REF!,#REF!,#REF!,#REF!,#REF!,SPD!AR185,#REF!,#REF!,#REF!)</f>
        <v>1.111111</v>
      </c>
      <c r="AS185" s="207"/>
      <c r="AT185" s="207"/>
      <c r="AU185" s="207"/>
      <c r="AV185" s="207"/>
      <c r="AW185" s="184"/>
    </row>
    <row r="186" spans="1:49" ht="16">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CHOOSE($B$3,#REF!,#REF!,#REF!,#REF!,#REF!,#REF!,#REF!,#REF!,#REF!,#REF!,SPD!AR186,#REF!,#REF!,#REF!)</f>
        <v>1.111111</v>
      </c>
      <c r="AS186" s="207"/>
      <c r="AT186" s="207"/>
      <c r="AU186" s="207"/>
      <c r="AV186" s="207"/>
      <c r="AW186" s="184"/>
    </row>
    <row r="187" spans="1:49" ht="16">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CHOOSE($B$3,#REF!,#REF!,#REF!,#REF!,#REF!,#REF!,#REF!,#REF!,#REF!,#REF!,SPD!AR191,#REF!,#REF!,#REF!)</f>
        <v>30.193787032597307</v>
      </c>
      <c r="AS191" s="476">
        <f>CHOOSE($B$3,#REF!,#REF!,#REF!,#REF!,#REF!,#REF!,#REF!,#REF!,#REF!,#REF!,SPD!AS191,#REF!,#REF!,#REF!)</f>
        <v>37.340744726597052</v>
      </c>
      <c r="AT191" s="476">
        <f>CHOOSE($B$3,#REF!,#REF!,#REF!,#REF!,#REF!,#REF!,#REF!,#REF!,#REF!,#REF!,SPD!AT191,#REF!,#REF!,#REF!)</f>
        <v>0</v>
      </c>
      <c r="AU191" s="476">
        <f>CHOOSE($B$3,#REF!,#REF!,#REF!,#REF!,#REF!,#REF!,#REF!,#REF!,#REF!,#REF!,SPD!AU191,#REF!,#REF!,#REF!)</f>
        <v>0</v>
      </c>
      <c r="AV191" s="476">
        <f>CHOOSE($B$3,#REF!,#REF!,#REF!,#REF!,#REF!,#REF!,#REF!,#REF!,#REF!,#REF!,SPD!AV191,#REF!,#REF!,#REF!)</f>
        <v>0</v>
      </c>
      <c r="AW191" s="184"/>
    </row>
    <row r="192" spans="1:49" ht="16">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CHOOSE($B$3,#REF!,#REF!,#REF!,#REF!,#REF!,#REF!,#REF!,#REF!,#REF!,#REF!,SPD!AR192,#REF!,#REF!,#REF!)</f>
        <v>-30.908219879311623</v>
      </c>
      <c r="AS192" s="476">
        <f>CHOOSE($B$3,#REF!,#REF!,#REF!,#REF!,#REF!,#REF!,#REF!,#REF!,#REF!,#REF!,SPD!AS192,#REF!,#REF!,#REF!)</f>
        <v>-37.734014514661801</v>
      </c>
      <c r="AT192" s="476">
        <f>CHOOSE($B$3,#REF!,#REF!,#REF!,#REF!,#REF!,#REF!,#REF!,#REF!,#REF!,#REF!,SPD!AT192,#REF!,#REF!,#REF!)</f>
        <v>0</v>
      </c>
      <c r="AU192" s="476">
        <f>CHOOSE($B$3,#REF!,#REF!,#REF!,#REF!,#REF!,#REF!,#REF!,#REF!,#REF!,#REF!,SPD!AU192,#REF!,#REF!,#REF!)</f>
        <v>0</v>
      </c>
      <c r="AV192" s="476">
        <f>CHOOSE($B$3,#REF!,#REF!,#REF!,#REF!,#REF!,#REF!,#REF!,#REF!,#REF!,#REF!,SPD!AV192,#REF!,#REF!,#REF!)</f>
        <v>0</v>
      </c>
      <c r="AW192" s="184"/>
    </row>
    <row r="193" spans="1:49" ht="16">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CHOOSE($B$3,#REF!,#REF!,#REF!,#REF!,#REF!,#REF!,#REF!,#REF!,#REF!,#REF!,SPD!AR193,#REF!,#REF!,#REF!)</f>
        <v>2.1404648649639912</v>
      </c>
      <c r="AS193" s="476">
        <f>CHOOSE($B$3,#REF!,#REF!,#REF!,#REF!,#REF!,#REF!,#REF!,#REF!,#REF!,#REF!,SPD!AS193,#REF!,#REF!,#REF!)</f>
        <v>1.8941926328749374</v>
      </c>
      <c r="AT193" s="476">
        <f>CHOOSE($B$3,#REF!,#REF!,#REF!,#REF!,#REF!,#REF!,#REF!,#REF!,#REF!,#REF!,SPD!AT193,#REF!,#REF!,#REF!)</f>
        <v>1.4298489583934437</v>
      </c>
      <c r="AU193" s="476">
        <f>CHOOSE($B$3,#REF!,#REF!,#REF!,#REF!,#REF!,#REF!,#REF!,#REF!,#REF!,#REF!,SPD!AU193,#REF!,#REF!,#REF!)</f>
        <v>1.9886250040329405</v>
      </c>
      <c r="AV193" s="476">
        <f>CHOOSE($B$3,#REF!,#REF!,#REF!,#REF!,#REF!,#REF!,#REF!,#REF!,#REF!,#REF!,SPD!AV193,#REF!,#REF!,#REF!)</f>
        <v>3.100814972910797</v>
      </c>
      <c r="AW193" s="184"/>
    </row>
    <row r="194" spans="1:49" ht="16">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CHOOSE($B$3,#REF!,#REF!,#REF!,#REF!,#REF!,#REF!,#REF!,#REF!,#REF!,#REF!,SPD!AR194,#REF!,#REF!,#REF!)</f>
        <v>-4.6533782739685288</v>
      </c>
      <c r="AS194" s="476">
        <f>CHOOSE($B$3,#REF!,#REF!,#REF!,#REF!,#REF!,#REF!,#REF!,#REF!,#REF!,#REF!,SPD!AS194,#REF!,#REF!,#REF!)</f>
        <v>-4.3996216040889831</v>
      </c>
      <c r="AT194" s="476">
        <f>CHOOSE($B$3,#REF!,#REF!,#REF!,#REF!,#REF!,#REF!,#REF!,#REF!,#REF!,#REF!,SPD!AT194,#REF!,#REF!,#REF!)</f>
        <v>-1.4018127043072977</v>
      </c>
      <c r="AU194" s="476">
        <f>CHOOSE($B$3,#REF!,#REF!,#REF!,#REF!,#REF!,#REF!,#REF!,#REF!,#REF!,#REF!,SPD!AU194,#REF!,#REF!,#REF!)</f>
        <v>-1.9496323568950398</v>
      </c>
      <c r="AV194" s="476">
        <f>CHOOSE($B$3,#REF!,#REF!,#REF!,#REF!,#REF!,#REF!,#REF!,#REF!,#REF!,#REF!,SPD!AV194,#REF!,#REF!,#REF!)</f>
        <v>-3.0400146793243108</v>
      </c>
      <c r="AW194" s="184"/>
    </row>
    <row r="195" spans="1:49" ht="16">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CHOOSE($B$3,#REF!,#REF!,#REF!,#REF!,#REF!,#REF!,#REF!,#REF!,#REF!,#REF!,SPD!AR195,#REF!,#REF!,#REF!)</f>
        <v>0.63009936060795257</v>
      </c>
      <c r="AS195" s="476">
        <f>CHOOSE($B$3,#REF!,#REF!,#REF!,#REF!,#REF!,#REF!,#REF!,#REF!,#REF!,#REF!,SPD!AS195,#REF!,#REF!,#REF!)</f>
        <v>0.73954591821127325</v>
      </c>
      <c r="AT195" s="476">
        <f>CHOOSE($B$3,#REF!,#REF!,#REF!,#REF!,#REF!,#REF!,#REF!,#REF!,#REF!,#REF!,SPD!AT195,#REF!,#REF!,#REF!)</f>
        <v>3.9693663952638332</v>
      </c>
      <c r="AU195" s="476">
        <f>CHOOSE($B$3,#REF!,#REF!,#REF!,#REF!,#REF!,#REF!,#REF!,#REF!,#REF!,#REF!,SPD!AU195,#REF!,#REF!,#REF!)</f>
        <v>6.3726038761284238</v>
      </c>
      <c r="AV195" s="476">
        <f>CHOOSE($B$3,#REF!,#REF!,#REF!,#REF!,#REF!,#REF!,#REF!,#REF!,#REF!,#REF!,SPD!AV195,#REF!,#REF!,#REF!)</f>
        <v>11.146357148524215</v>
      </c>
      <c r="AW195" s="184"/>
    </row>
    <row r="196" spans="1:49" ht="16">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CHOOSE($B$3,#REF!,#REF!,#REF!,#REF!,#REF!,#REF!,#REF!,#REF!,#REF!,#REF!,SPD!AR196,#REF!,#REF!,#REF!)</f>
        <v>-1.2311420658154217</v>
      </c>
      <c r="AS196" s="476">
        <f>CHOOSE($B$3,#REF!,#REF!,#REF!,#REF!,#REF!,#REF!,#REF!,#REF!,#REF!,#REF!,SPD!AS196,#REF!,#REF!,#REF!)</f>
        <v>-1.2107184874898447</v>
      </c>
      <c r="AT196" s="476">
        <f>CHOOSE($B$3,#REF!,#REF!,#REF!,#REF!,#REF!,#REF!,#REF!,#REF!,#REF!,#REF!,SPD!AT196,#REF!,#REF!,#REF!)</f>
        <v>-3.891535681631209</v>
      </c>
      <c r="AU196" s="476">
        <f>CHOOSE($B$3,#REF!,#REF!,#REF!,#REF!,#REF!,#REF!,#REF!,#REF!,#REF!,#REF!,SPD!AU196,#REF!,#REF!,#REF!)</f>
        <v>-6.2476508589494353</v>
      </c>
      <c r="AV196" s="476">
        <f>CHOOSE($B$3,#REF!,#REF!,#REF!,#REF!,#REF!,#REF!,#REF!,#REF!,#REF!,#REF!,SPD!AV196,#REF!,#REF!,#REF!)</f>
        <v>-10.927801126004132</v>
      </c>
      <c r="AW196" s="184"/>
    </row>
    <row r="197" spans="1:49" ht="16">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CHOOSE($B$3,#REF!,#REF!,#REF!,#REF!,#REF!,#REF!,#REF!,#REF!,#REF!,#REF!,SPD!AR197,#REF!,#REF!,#REF!)</f>
        <v>1.9965600008835967E-3</v>
      </c>
      <c r="AS197" s="476">
        <f>CHOOSE($B$3,#REF!,#REF!,#REF!,#REF!,#REF!,#REF!,#REF!,#REF!,#REF!,#REF!,SPD!AS197,#REF!,#REF!,#REF!)</f>
        <v>7.0926861764927344E-3</v>
      </c>
      <c r="AT197" s="476">
        <f>CHOOSE($B$3,#REF!,#REF!,#REF!,#REF!,#REF!,#REF!,#REF!,#REF!,#REF!,#REF!,SPD!AT197,#REF!,#REF!,#REF!)</f>
        <v>0</v>
      </c>
      <c r="AU197" s="476">
        <f>CHOOSE($B$3,#REF!,#REF!,#REF!,#REF!,#REF!,#REF!,#REF!,#REF!,#REF!,#REF!,SPD!AU197,#REF!,#REF!,#REF!)</f>
        <v>0</v>
      </c>
      <c r="AV197" s="476">
        <f>CHOOSE($B$3,#REF!,#REF!,#REF!,#REF!,#REF!,#REF!,#REF!,#REF!,#REF!,#REF!,SPD!AV197,#REF!,#REF!,#REF!)</f>
        <v>0</v>
      </c>
      <c r="AW197" s="184"/>
    </row>
    <row r="198" spans="1:49" ht="16">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CHOOSE($B$3,#REF!,#REF!,#REF!,#REF!,#REF!,#REF!,#REF!,#REF!,#REF!,#REF!,SPD!AR198,#REF!,#REF!,#REF!)</f>
        <v>0</v>
      </c>
      <c r="AS198" s="476">
        <f>CHOOSE($B$3,#REF!,#REF!,#REF!,#REF!,#REF!,#REF!,#REF!,#REF!,#REF!,#REF!,SPD!AS198,#REF!,#REF!,#REF!)</f>
        <v>0</v>
      </c>
      <c r="AT198" s="476">
        <f>CHOOSE($B$3,#REF!,#REF!,#REF!,#REF!,#REF!,#REF!,#REF!,#REF!,#REF!,#REF!,SPD!AT198,#REF!,#REF!,#REF!)</f>
        <v>0</v>
      </c>
      <c r="AU198" s="476">
        <f>CHOOSE($B$3,#REF!,#REF!,#REF!,#REF!,#REF!,#REF!,#REF!,#REF!,#REF!,#REF!,SPD!AU198,#REF!,#REF!,#REF!)</f>
        <v>0</v>
      </c>
      <c r="AV198" s="476">
        <f>CHOOSE($B$3,#REF!,#REF!,#REF!,#REF!,#REF!,#REF!,#REF!,#REF!,#REF!,#REF!,SPD!AV198,#REF!,#REF!,#REF!)</f>
        <v>0</v>
      </c>
      <c r="AW198" s="184"/>
    </row>
    <row r="199" spans="1:49" ht="16">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CHOOSE($B$3,#REF!,#REF!,#REF!,#REF!,#REF!,#REF!,#REF!,#REF!,#REF!,#REF!,SPD!AR199,#REF!,#REF!,#REF!)</f>
        <v>0.68650477677910882</v>
      </c>
      <c r="AS199" s="476">
        <f>CHOOSE($B$3,#REF!,#REF!,#REF!,#REF!,#REF!,#REF!,#REF!,#REF!,#REF!,#REF!,SPD!AS199,#REF!,#REF!,#REF!)</f>
        <v>0.67642866948097091</v>
      </c>
      <c r="AT199" s="476">
        <f>CHOOSE($B$3,#REF!,#REF!,#REF!,#REF!,#REF!,#REF!,#REF!,#REF!,#REF!,#REF!,SPD!AT199,#REF!,#REF!,#REF!)</f>
        <v>0.7193479940624945</v>
      </c>
      <c r="AU199" s="476">
        <f>CHOOSE($B$3,#REF!,#REF!,#REF!,#REF!,#REF!,#REF!,#REF!,#REF!,#REF!,#REF!,SPD!AU199,#REF!,#REF!,#REF!)</f>
        <v>0.71635768940318667</v>
      </c>
      <c r="AV199" s="476">
        <f>CHOOSE($B$3,#REF!,#REF!,#REF!,#REF!,#REF!,#REF!,#REF!,#REF!,#REF!,#REF!,SPD!AV199,#REF!,#REF!,#REF!)</f>
        <v>0.71185798128164468</v>
      </c>
      <c r="AW199" s="184"/>
    </row>
    <row r="200" spans="1:49" ht="16">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CHOOSE($B$3,#REF!,#REF!,#REF!,#REF!,#REF!,#REF!,#REF!,#REF!,#REF!,#REF!,SPD!AR200,#REF!,#REF!,#REF!)</f>
        <v>-0.68650477677910882</v>
      </c>
      <c r="AS200" s="476">
        <f>CHOOSE($B$3,#REF!,#REF!,#REF!,#REF!,#REF!,#REF!,#REF!,#REF!,#REF!,#REF!,SPD!AS200,#REF!,#REF!,#REF!)</f>
        <v>-0.67479271226277959</v>
      </c>
      <c r="AT200" s="476">
        <f>CHOOSE($B$3,#REF!,#REF!,#REF!,#REF!,#REF!,#REF!,#REF!,#REF!,#REF!,#REF!,SPD!AT200,#REF!,#REF!,#REF!)</f>
        <v>-0.70524313143381812</v>
      </c>
      <c r="AU200" s="476">
        <f>CHOOSE($B$3,#REF!,#REF!,#REF!,#REF!,#REF!,#REF!,#REF!,#REF!,#REF!,#REF!,SPD!AU200,#REF!,#REF!,#REF!)</f>
        <v>-0.70231146019920265</v>
      </c>
      <c r="AV200" s="476">
        <f>CHOOSE($B$3,#REF!,#REF!,#REF!,#REF!,#REF!,#REF!,#REF!,#REF!,#REF!,#REF!,SPD!AV200,#REF!,#REF!,#REF!)</f>
        <v>-0.69789998164867129</v>
      </c>
      <c r="AW200" s="184"/>
    </row>
    <row r="201" spans="1:49" ht="16">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CHOOSE($B$3,#REF!,#REF!,#REF!,#REF!,#REF!,#REF!,#REF!,#REF!,#REF!,#REF!,SPD!AR201,#REF!,#REF!,#REF!)</f>
        <v>4.1659421804704193</v>
      </c>
      <c r="AS201" s="476">
        <f>CHOOSE($B$3,#REF!,#REF!,#REF!,#REF!,#REF!,#REF!,#REF!,#REF!,#REF!,#REF!,SPD!AS201,#REF!,#REF!,#REF!)</f>
        <v>3.8795799400808888</v>
      </c>
      <c r="AT201" s="476">
        <f>CHOOSE($B$3,#REF!,#REF!,#REF!,#REF!,#REF!,#REF!,#REF!,#REF!,#REF!,#REF!,SPD!AT201,#REF!,#REF!,#REF!)</f>
        <v>1.5614070400655273</v>
      </c>
      <c r="AU201" s="476">
        <f>CHOOSE($B$3,#REF!,#REF!,#REF!,#REF!,#REF!,#REF!,#REF!,#REF!,#REF!,#REF!,SPD!AU201,#REF!,#REF!,#REF!)</f>
        <v>1.3218312239629997</v>
      </c>
      <c r="AV201" s="476">
        <f>CHOOSE($B$3,#REF!,#REF!,#REF!,#REF!,#REF!,#REF!,#REF!,#REF!,#REF!,#REF!,SPD!AV201,#REF!,#REF!,#REF!)</f>
        <v>1.1166947390763351</v>
      </c>
      <c r="AW201" s="184"/>
    </row>
    <row r="202" spans="1:49" ht="16">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CHOOSE($B$3,#REF!,#REF!,#REF!,#REF!,#REF!,#REF!,#REF!,#REF!,#REF!,#REF!,SPD!AR202,#REF!,#REF!,#REF!)</f>
        <v>-1.6669797286080867</v>
      </c>
      <c r="AS202" s="476">
        <f>CHOOSE($B$3,#REF!,#REF!,#REF!,#REF!,#REF!,#REF!,#REF!,#REF!,#REF!,#REF!,SPD!AS202,#REF!,#REF!,#REF!)</f>
        <v>-1.5725369689485809</v>
      </c>
      <c r="AT202" s="476">
        <f>CHOOSE($B$3,#REF!,#REF!,#REF!,#REF!,#REF!,#REF!,#REF!,#REF!,#REF!,#REF!,SPD!AT202,#REF!,#REF!,#REF!)</f>
        <v>-1.530791215750517</v>
      </c>
      <c r="AU202" s="476">
        <f>CHOOSE($B$3,#REF!,#REF!,#REF!,#REF!,#REF!,#REF!,#REF!,#REF!,#REF!,#REF!,SPD!AU202,#REF!,#REF!,#REF!)</f>
        <v>-1.2959129646696075</v>
      </c>
      <c r="AV202" s="476">
        <f>CHOOSE($B$3,#REF!,#REF!,#REF!,#REF!,#REF!,#REF!,#REF!,#REF!,#REF!,#REF!,SPD!AV202,#REF!,#REF!,#REF!)</f>
        <v>-1.0947987638003285</v>
      </c>
      <c r="AW202" s="184"/>
    </row>
    <row r="203" spans="1:49" ht="16">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CHOOSE($B$3,#REF!,#REF!,#REF!,#REF!,#REF!,#REF!,#REF!,#REF!,#REF!,#REF!,SPD!AR203,#REF!,#REF!,#REF!)</f>
        <v>0</v>
      </c>
      <c r="AS203" s="476">
        <f>CHOOSE($B$3,#REF!,#REF!,#REF!,#REF!,#REF!,#REF!,#REF!,#REF!,#REF!,#REF!,SPD!AS203,#REF!,#REF!,#REF!)</f>
        <v>0</v>
      </c>
      <c r="AT203" s="476">
        <f>CHOOSE($B$3,#REF!,#REF!,#REF!,#REF!,#REF!,#REF!,#REF!,#REF!,#REF!,#REF!,SPD!AT203,#REF!,#REF!,#REF!)</f>
        <v>0</v>
      </c>
      <c r="AU203" s="476">
        <f>CHOOSE($B$3,#REF!,#REF!,#REF!,#REF!,#REF!,#REF!,#REF!,#REF!,#REF!,#REF!,SPD!AU203,#REF!,#REF!,#REF!)</f>
        <v>0</v>
      </c>
      <c r="AV203" s="476">
        <f>CHOOSE($B$3,#REF!,#REF!,#REF!,#REF!,#REF!,#REF!,#REF!,#REF!,#REF!,#REF!,SPD!AV203,#REF!,#REF!,#REF!)</f>
        <v>0</v>
      </c>
      <c r="AW203" s="184"/>
    </row>
    <row r="204" spans="1:49" ht="16">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CHOOSE($B$3,#REF!,#REF!,#REF!,#REF!,#REF!,#REF!,#REF!,#REF!,#REF!,#REF!,SPD!AR204,#REF!,#REF!,#REF!)</f>
        <v>0</v>
      </c>
      <c r="AS204" s="476">
        <f>CHOOSE($B$3,#REF!,#REF!,#REF!,#REF!,#REF!,#REF!,#REF!,#REF!,#REF!,#REF!,SPD!AS204,#REF!,#REF!,#REF!)</f>
        <v>0</v>
      </c>
      <c r="AT204" s="476">
        <f>CHOOSE($B$3,#REF!,#REF!,#REF!,#REF!,#REF!,#REF!,#REF!,#REF!,#REF!,#REF!,SPD!AT204,#REF!,#REF!,#REF!)</f>
        <v>0</v>
      </c>
      <c r="AU204" s="476">
        <f>CHOOSE($B$3,#REF!,#REF!,#REF!,#REF!,#REF!,#REF!,#REF!,#REF!,#REF!,#REF!,SPD!AU204,#REF!,#REF!,#REF!)</f>
        <v>0</v>
      </c>
      <c r="AV204" s="476">
        <f>CHOOSE($B$3,#REF!,#REF!,#REF!,#REF!,#REF!,#REF!,#REF!,#REF!,#REF!,#REF!,SPD!AV204,#REF!,#REF!,#REF!)</f>
        <v>0</v>
      </c>
      <c r="AW204" s="184"/>
    </row>
    <row r="205" spans="1:49" ht="16">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CHOOSE($B$3,#REF!,#REF!,#REF!,#REF!,#REF!,#REF!,#REF!,#REF!,#REF!,#REF!,SPD!AR205,#REF!,#REF!,#REF!)</f>
        <v>0.56832212146821437</v>
      </c>
      <c r="AS205" s="476">
        <f>CHOOSE($B$3,#REF!,#REF!,#REF!,#REF!,#REF!,#REF!,#REF!,#REF!,#REF!,#REF!,SPD!AS205,#REF!,#REF!,#REF!)</f>
        <v>0.81888322917992773</v>
      </c>
      <c r="AT205" s="476">
        <f>CHOOSE($B$3,#REF!,#REF!,#REF!,#REF!,#REF!,#REF!,#REF!,#REF!,#REF!,#REF!,SPD!AT205,#REF!,#REF!,#REF!)</f>
        <v>1.5795318693837128</v>
      </c>
      <c r="AU205" s="476">
        <f>CHOOSE($B$3,#REF!,#REF!,#REF!,#REF!,#REF!,#REF!,#REF!,#REF!,#REF!,#REF!,SPD!AU205,#REF!,#REF!,#REF!)</f>
        <v>1.5718738635340339</v>
      </c>
      <c r="AV205" s="476">
        <f>CHOOSE($B$3,#REF!,#REF!,#REF!,#REF!,#REF!,#REF!,#REF!,#REF!,#REF!,#REF!,SPD!AV205,#REF!,#REF!,#REF!)</f>
        <v>1.5612712494379735</v>
      </c>
      <c r="AW205" s="184"/>
    </row>
    <row r="206" spans="1:49" ht="16">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CHOOSE($B$3,#REF!,#REF!,#REF!,#REF!,#REF!,#REF!,#REF!,#REF!,#REF!,#REF!,SPD!AR206,#REF!,#REF!,#REF!)</f>
        <v>-0.14555662459072768</v>
      </c>
      <c r="AS206" s="476">
        <f>CHOOSE($B$3,#REF!,#REF!,#REF!,#REF!,#REF!,#REF!,#REF!,#REF!,#REF!,#REF!,SPD!AS206,#REF!,#REF!,#REF!)</f>
        <v>-0.33950705715125573</v>
      </c>
      <c r="AT206" s="476">
        <f>CHOOSE($B$3,#REF!,#REF!,#REF!,#REF!,#REF!,#REF!,#REF!,#REF!,#REF!,#REF!,SPD!AT206,#REF!,#REF!,#REF!)</f>
        <v>-1.5485606562585419</v>
      </c>
      <c r="AU206" s="476">
        <f>CHOOSE($B$3,#REF!,#REF!,#REF!,#REF!,#REF!,#REF!,#REF!,#REF!,#REF!,#REF!,SPD!AU206,#REF!,#REF!,#REF!)</f>
        <v>-1.5410528073863077</v>
      </c>
      <c r="AV206" s="476">
        <f>CHOOSE($B$3,#REF!,#REF!,#REF!,#REF!,#REF!,#REF!,#REF!,#REF!,#REF!,#REF!,SPD!AV206,#REF!,#REF!,#REF!)</f>
        <v>-1.5306580876842877</v>
      </c>
      <c r="AW206" s="184"/>
    </row>
    <row r="207" spans="1:49" ht="16">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CHOOSE($B$3,#REF!,#REF!,#REF!,#REF!,#REF!,#REF!,#REF!,#REF!,#REF!,#REF!,SPD!AR211,#REF!,#REF!,#REF!)</f>
        <v>3.1E-2</v>
      </c>
      <c r="AS211" s="390">
        <f>CHOOSE($B$3,#REF!,#REF!,#REF!,#REF!,#REF!,#REF!,#REF!,#REF!,#REF!,#REF!,SPD!AS211,#REF!,#REF!,#REF!)</f>
        <v>3.1699999999999999E-2</v>
      </c>
      <c r="AT211" s="390">
        <f>CHOOSE($B$3,#REF!,#REF!,#REF!,#REF!,#REF!,#REF!,#REF!,#REF!,#REF!,#REF!,SPD!AT211,#REF!,#REF!,#REF!)</f>
        <v>3.1899999999999998E-2</v>
      </c>
      <c r="AU211" s="390">
        <f>CHOOSE($B$3,#REF!,#REF!,#REF!,#REF!,#REF!,#REF!,#REF!,#REF!,#REF!,#REF!,SPD!AU211,#REF!,#REF!,#REF!)</f>
        <v>3.2000000000000001E-2</v>
      </c>
      <c r="AV211" s="390">
        <f>CHOOSE($B$3,#REF!,#REF!,#REF!,#REF!,#REF!,#REF!,#REF!,#REF!,#REF!,#REF!,SPD!AV211,#REF!,#REF!,#REF!)</f>
        <v>3.2000000000000001E-2</v>
      </c>
      <c r="AW211" s="184"/>
    </row>
    <row r="212" spans="1:49" ht="16">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CHOOSE($B$3,#REF!,#REF!,#REF!,#REF!,#REF!,#REF!,#REF!,#REF!,#REF!,#REF!,SPD!AR213,#REF!,#REF!,#REF!)</f>
        <v>1.46E-2</v>
      </c>
      <c r="AS213" s="390">
        <f>CHOOSE($B$3,#REF!,#REF!,#REF!,#REF!,#REF!,#REF!,#REF!,#REF!,#REF!,#REF!,SPD!AS213,#REF!,#REF!,#REF!)</f>
        <v>2.7199999999999998E-2</v>
      </c>
      <c r="AT213" s="390">
        <f>CHOOSE($B$3,#REF!,#REF!,#REF!,#REF!,#REF!,#REF!,#REF!,#REF!,#REF!,#REF!,SPD!AT213,#REF!,#REF!,#REF!)</f>
        <v>2.1399999999999999E-2</v>
      </c>
      <c r="AU213" s="390">
        <f>CHOOSE($B$3,#REF!,#REF!,#REF!,#REF!,#REF!,#REF!,#REF!,#REF!,#REF!,#REF!,SPD!AU213,#REF!,#REF!,#REF!)</f>
        <v>3.0499999999999999E-2</v>
      </c>
      <c r="AV213" s="390">
        <f>CHOOSE($B$3,#REF!,#REF!,#REF!,#REF!,#REF!,#REF!,#REF!,#REF!,#REF!,#REF!,SPD!AV213,#REF!,#REF!,#REF!)</f>
        <v>2.47E-2</v>
      </c>
      <c r="AW213" s="184"/>
    </row>
    <row r="214" spans="1:49" ht="16">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CHOOSE($B$3,#REF!,#REF!,#REF!,#REF!,#REF!,#REF!,#REF!,#REF!,#REF!,#REF!,SPD!AR214,#REF!,#REF!,#REF!)</f>
        <v>0.75861000000000001</v>
      </c>
      <c r="AS214" s="409">
        <f>CHOOSE($B$3,#REF!,#REF!,#REF!,#REF!,#REF!,#REF!,#REF!,#REF!,#REF!,#REF!,SPD!AS214,#REF!,#REF!,#REF!)</f>
        <v>0.75861000000000001</v>
      </c>
      <c r="AT214" s="409">
        <f>CHOOSE($B$3,#REF!,#REF!,#REF!,#REF!,#REF!,#REF!,#REF!,#REF!,#REF!,#REF!,SPD!AT214,#REF!,#REF!,#REF!)</f>
        <v>0.75861000000000001</v>
      </c>
      <c r="AU214" s="409">
        <f>CHOOSE($B$3,#REF!,#REF!,#REF!,#REF!,#REF!,#REF!,#REF!,#REF!,#REF!,#REF!,SPD!AU214,#REF!,#REF!,#REF!)</f>
        <v>0.75861000000000001</v>
      </c>
      <c r="AV214" s="409">
        <f>CHOOSE($B$3,#REF!,#REF!,#REF!,#REF!,#REF!,#REF!,#REF!,#REF!,#REF!,#REF!,SPD!AV214,#REF!,#REF!,#REF!)</f>
        <v>0.75861000000000001</v>
      </c>
      <c r="AW214" s="184"/>
    </row>
    <row r="215" spans="1:49" ht="16">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CHOOSE($B$3,#REF!,#REF!,#REF!,#REF!,#REF!,#REF!,#REF!,#REF!,#REF!,#REF!,SPD!AR215,#REF!,#REF!,#REF!)</f>
        <v>6.5000000000000002E-2</v>
      </c>
      <c r="AS215" s="409">
        <f>CHOOSE($B$3,#REF!,#REF!,#REF!,#REF!,#REF!,#REF!,#REF!,#REF!,#REF!,#REF!,SPD!AS215,#REF!,#REF!,#REF!)</f>
        <v>6.5000000000000002E-2</v>
      </c>
      <c r="AT215" s="409">
        <f>CHOOSE($B$3,#REF!,#REF!,#REF!,#REF!,#REF!,#REF!,#REF!,#REF!,#REF!,#REF!,SPD!AT215,#REF!,#REF!,#REF!)</f>
        <v>6.5000000000000002E-2</v>
      </c>
      <c r="AU215" s="409">
        <f>CHOOSE($B$3,#REF!,#REF!,#REF!,#REF!,#REF!,#REF!,#REF!,#REF!,#REF!,#REF!,SPD!AU215,#REF!,#REF!,#REF!)</f>
        <v>6.5000000000000002E-2</v>
      </c>
      <c r="AV215" s="409">
        <f>CHOOSE($B$3,#REF!,#REF!,#REF!,#REF!,#REF!,#REF!,#REF!,#REF!,#REF!,#REF!,SPD!AV215,#REF!,#REF!,#REF!)</f>
        <v>6.5000000000000002E-2</v>
      </c>
      <c r="AW215" s="184"/>
    </row>
    <row r="216" spans="1:49" ht="16">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CHOOSE($B$3,#REF!,#REF!,#REF!,#REF!,#REF!,#REF!,#REF!,#REF!,#REF!,#REF!,SPD!AR216,#REF!,#REF!,#REF!)</f>
        <v>0.6</v>
      </c>
      <c r="AS216" s="409">
        <f>CHOOSE($B$3,#REF!,#REF!,#REF!,#REF!,#REF!,#REF!,#REF!,#REF!,#REF!,#REF!,SPD!AS216,#REF!,#REF!,#REF!)</f>
        <v>0.6</v>
      </c>
      <c r="AT216" s="409">
        <f>CHOOSE($B$3,#REF!,#REF!,#REF!,#REF!,#REF!,#REF!,#REF!,#REF!,#REF!,#REF!,SPD!AT216,#REF!,#REF!,#REF!)</f>
        <v>0.6</v>
      </c>
      <c r="AU216" s="409">
        <f>CHOOSE($B$3,#REF!,#REF!,#REF!,#REF!,#REF!,#REF!,#REF!,#REF!,#REF!,#REF!,SPD!AU216,#REF!,#REF!,#REF!)</f>
        <v>0.6</v>
      </c>
      <c r="AV216" s="409">
        <f>CHOOSE($B$3,#REF!,#REF!,#REF!,#REF!,#REF!,#REF!,#REF!,#REF!,#REF!,#REF!,SPD!AV216,#REF!,#REF!,#REF!)</f>
        <v>0.6</v>
      </c>
      <c r="AW216" s="184"/>
    </row>
    <row r="217" spans="1:49" ht="16">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CHOOSE($B$3,#REF!,#REF!,#REF!,#REF!,#REF!,#REF!,#REF!,#REF!,#REF!,#REF!,SPD!AR217,#REF!,#REF!,#REF!)</f>
        <v>0.6</v>
      </c>
      <c r="AS217" s="409">
        <f>CHOOSE($B$3,#REF!,#REF!,#REF!,#REF!,#REF!,#REF!,#REF!,#REF!,#REF!,#REF!,SPD!AS217,#REF!,#REF!,#REF!)</f>
        <v>0.6</v>
      </c>
      <c r="AT217" s="409">
        <f>CHOOSE($B$3,#REF!,#REF!,#REF!,#REF!,#REF!,#REF!,#REF!,#REF!,#REF!,#REF!,SPD!AT217,#REF!,#REF!,#REF!)</f>
        <v>0.6</v>
      </c>
      <c r="AU217" s="409">
        <f>CHOOSE($B$3,#REF!,#REF!,#REF!,#REF!,#REF!,#REF!,#REF!,#REF!,#REF!,#REF!,SPD!AU217,#REF!,#REF!,#REF!)</f>
        <v>0.6</v>
      </c>
      <c r="AV217" s="409">
        <f>CHOOSE($B$3,#REF!,#REF!,#REF!,#REF!,#REF!,#REF!,#REF!,#REF!,#REF!,#REF!,SPD!AV217,#REF!,#REF!,#REF!)</f>
        <v>0.6</v>
      </c>
      <c r="AW217" s="184"/>
    </row>
    <row r="218" spans="1:49" ht="16">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CHOOSE($B$3,#REF!,#REF!,#REF!,#REF!,#REF!,#REF!,#REF!,#REF!,#REF!,#REF!,SPD!AJ219,#REF!,#REF!,#REF!)</f>
        <v>3.7574999999999997E-2</v>
      </c>
      <c r="AK219" s="409">
        <f>CHOOSE($B$3,#REF!,#REF!,#REF!,#REF!,#REF!,#REF!,#REF!,#REF!,#REF!,#REF!,SPD!AK219,#REF!,#REF!,#REF!)</f>
        <v>3.6729999999999999E-2</v>
      </c>
      <c r="AL219" s="409">
        <f>CHOOSE($B$3,#REF!,#REF!,#REF!,#REF!,#REF!,#REF!,#REF!,#REF!,#REF!,#REF!,SPD!AL219,#REF!,#REF!,#REF!)</f>
        <v>3.5885E-2</v>
      </c>
      <c r="AM219" s="409">
        <f>CHOOSE($B$3,#REF!,#REF!,#REF!,#REF!,#REF!,#REF!,#REF!,#REF!,#REF!,#REF!,SPD!AM219,#REF!,#REF!,#REF!)</f>
        <v>3.4584999999999998E-2</v>
      </c>
      <c r="AN219" s="409">
        <f>CHOOSE($B$3,#REF!,#REF!,#REF!,#REF!,#REF!,#REF!,#REF!,#REF!,#REF!,#REF!,SPD!AN219,#REF!,#REF!,#REF!)</f>
        <v>3.3610000000000001E-2</v>
      </c>
      <c r="AO219" s="409">
        <f>CHOOSE($B$3,#REF!,#REF!,#REF!,#REF!,#REF!,#REF!,#REF!,#REF!,#REF!,#REF!,SPD!AO219,#REF!,#REF!,#REF!)</f>
        <v>3.2570000000000002E-2</v>
      </c>
      <c r="AP219" s="409">
        <f>CHOOSE($B$3,#REF!,#REF!,#REF!,#REF!,#REF!,#REF!,#REF!,#REF!,#REF!,#REF!,SPD!AP219,#REF!,#REF!,#REF!)</f>
        <v>3.1530000000000002E-2</v>
      </c>
      <c r="AQ219" s="457">
        <f>CHOOSE($B$3,#REF!,#REF!,#REF!,#REF!,#REF!,#REF!,#REF!,#REF!,#REF!,#REF!,SPD!AQ219,#REF!,#REF!,#REF!)</f>
        <v>3.0359999999999998E-2</v>
      </c>
      <c r="AR219" s="145"/>
      <c r="AS219" s="184"/>
      <c r="AT219" s="184"/>
      <c r="AU219" s="184"/>
      <c r="AV219" s="184"/>
      <c r="AW219" s="184"/>
    </row>
    <row r="220" spans="1:49" ht="16">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CHOOSE($B$3,#REF!,#REF!,#REF!,#REF!,#REF!,#REF!,#REF!,#REF!,#REF!,#REF!,SPD!AJ220,#REF!,#REF!,#REF!)</f>
        <v>0.65</v>
      </c>
      <c r="AK220" s="410">
        <f>CHOOSE($B$3,#REF!,#REF!,#REF!,#REF!,#REF!,#REF!,#REF!,#REF!,#REF!,#REF!,SPD!AK220,#REF!,#REF!,#REF!)</f>
        <v>0.65</v>
      </c>
      <c r="AL220" s="410">
        <f>CHOOSE($B$3,#REF!,#REF!,#REF!,#REF!,#REF!,#REF!,#REF!,#REF!,#REF!,#REF!,SPD!AL220,#REF!,#REF!,#REF!)</f>
        <v>0.65</v>
      </c>
      <c r="AM220" s="410">
        <f>CHOOSE($B$3,#REF!,#REF!,#REF!,#REF!,#REF!,#REF!,#REF!,#REF!,#REF!,#REF!,SPD!AM220,#REF!,#REF!,#REF!)</f>
        <v>0.65</v>
      </c>
      <c r="AN220" s="410">
        <f>CHOOSE($B$3,#REF!,#REF!,#REF!,#REF!,#REF!,#REF!,#REF!,#REF!,#REF!,#REF!,SPD!AN220,#REF!,#REF!,#REF!)</f>
        <v>0.65</v>
      </c>
      <c r="AO220" s="410">
        <f>CHOOSE($B$3,#REF!,#REF!,#REF!,#REF!,#REF!,#REF!,#REF!,#REF!,#REF!,#REF!,SPD!AO220,#REF!,#REF!,#REF!)</f>
        <v>0.65</v>
      </c>
      <c r="AP220" s="410">
        <f>CHOOSE($B$3,#REF!,#REF!,#REF!,#REF!,#REF!,#REF!,#REF!,#REF!,#REF!,#REF!,SPD!AP220,#REF!,#REF!,#REF!)</f>
        <v>0.65</v>
      </c>
      <c r="AQ220" s="456">
        <f>CHOOSE($B$3,#REF!,#REF!,#REF!,#REF!,#REF!,#REF!,#REF!,#REF!,#REF!,#REF!,SPD!AQ220,#REF!,#REF!,#REF!)</f>
        <v>0.65</v>
      </c>
      <c r="AR220" s="145"/>
      <c r="AS220" s="184"/>
      <c r="AT220" s="184"/>
      <c r="AU220" s="184"/>
      <c r="AV220" s="184"/>
      <c r="AW220" s="184"/>
    </row>
    <row r="221" spans="1:49" ht="16">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CHOOSE($B$3,#REF!,#REF!,#REF!,#REF!,#REF!,#REF!,#REF!,#REF!,#REF!,#REF!,SPD!AR223,#REF!,#REF!,#REF!)</f>
        <v>0.95320000000000005</v>
      </c>
      <c r="AS223" s="390">
        <f>CHOOSE($B$3,#REF!,#REF!,#REF!,#REF!,#REF!,#REF!,#REF!,#REF!,#REF!,#REF!,SPD!AS223,#REF!,#REF!,#REF!)</f>
        <v>0.96040000000000003</v>
      </c>
      <c r="AT223" s="390">
        <f>CHOOSE($B$3,#REF!,#REF!,#REF!,#REF!,#REF!,#REF!,#REF!,#REF!,#REF!,#REF!,SPD!AT223,#REF!,#REF!,#REF!)</f>
        <v>0.97009999999999996</v>
      </c>
      <c r="AU223" s="390">
        <f>CHOOSE($B$3,#REF!,#REF!,#REF!,#REF!,#REF!,#REF!,#REF!,#REF!,#REF!,#REF!,SPD!AU223,#REF!,#REF!,#REF!)</f>
        <v>0.9798</v>
      </c>
      <c r="AV223" s="390">
        <f>CHOOSE($B$3,#REF!,#REF!,#REF!,#REF!,#REF!,#REF!,#REF!,#REF!,#REF!,#REF!,SPD!AV223,#REF!,#REF!,#REF!)</f>
        <v>0.98839999999999995</v>
      </c>
      <c r="AW223" s="184"/>
    </row>
    <row r="224" spans="1:49" ht="16">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CHOOSE($B$3,#REF!,#REF!,#REF!,#REF!,#REF!,#REF!,#REF!,#REF!,#REF!,#REF!,SPD!AR226,#REF!,#REF!,#REF!)</f>
        <v>0.05</v>
      </c>
      <c r="AS226" s="409">
        <f>CHOOSE($B$3,#REF!,#REF!,#REF!,#REF!,#REF!,#REF!,#REF!,#REF!,#REF!,#REF!,SPD!AS226,#REF!,#REF!,#REF!)</f>
        <v>0.05</v>
      </c>
      <c r="AT226" s="409">
        <f>CHOOSE($B$3,#REF!,#REF!,#REF!,#REF!,#REF!,#REF!,#REF!,#REF!,#REF!,#REF!,SPD!AT226,#REF!,#REF!,#REF!)</f>
        <v>0.05</v>
      </c>
      <c r="AU226" s="409">
        <f>CHOOSE($B$3,#REF!,#REF!,#REF!,#REF!,#REF!,#REF!,#REF!,#REF!,#REF!,#REF!,SPD!AU226,#REF!,#REF!,#REF!)</f>
        <v>0.05</v>
      </c>
      <c r="AV226" s="409">
        <f>CHOOSE($B$3,#REF!,#REF!,#REF!,#REF!,#REF!,#REF!,#REF!,#REF!,#REF!,#REF!,SPD!AV226,#REF!,#REF!,#REF!)</f>
        <v>0.05</v>
      </c>
      <c r="AW226" s="184"/>
    </row>
    <row r="227" spans="1:49" ht="16">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CHOOSE($B$3,#REF!,#REF!,#REF!,#REF!,#REF!,#REF!,#REF!,#REF!,#REF!,#REF!,SPD!AR227,#REF!,#REF!,#REF!)</f>
        <v>0.05</v>
      </c>
      <c r="AS227" s="409">
        <f>CHOOSE($B$3,#REF!,#REF!,#REF!,#REF!,#REF!,#REF!,#REF!,#REF!,#REF!,#REF!,SPD!AS227,#REF!,#REF!,#REF!)</f>
        <v>0.05</v>
      </c>
      <c r="AT227" s="409">
        <f>CHOOSE($B$3,#REF!,#REF!,#REF!,#REF!,#REF!,#REF!,#REF!,#REF!,#REF!,#REF!,SPD!AT227,#REF!,#REF!,#REF!)</f>
        <v>0.05</v>
      </c>
      <c r="AU227" s="409">
        <f>CHOOSE($B$3,#REF!,#REF!,#REF!,#REF!,#REF!,#REF!,#REF!,#REF!,#REF!,#REF!,SPD!AU227,#REF!,#REF!,#REF!)</f>
        <v>0.05</v>
      </c>
      <c r="AV227" s="409">
        <f>CHOOSE($B$3,#REF!,#REF!,#REF!,#REF!,#REF!,#REF!,#REF!,#REF!,#REF!,#REF!,SPD!AV227,#REF!,#REF!,#REF!)</f>
        <v>0.05</v>
      </c>
      <c r="AW227" s="184"/>
    </row>
    <row r="228" spans="1:49" ht="16">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CHOOSE($B$3,#REF!,#REF!,#REF!,#REF!,#REF!,#REF!,#REF!,#REF!,#REF!,#REF!,SPD!AR228,#REF!,#REF!,#REF!)</f>
        <v>0.03</v>
      </c>
      <c r="AS228" s="409">
        <f>CHOOSE($B$3,#REF!,#REF!,#REF!,#REF!,#REF!,#REF!,#REF!,#REF!,#REF!,#REF!,SPD!AS228,#REF!,#REF!,#REF!)</f>
        <v>0.03</v>
      </c>
      <c r="AT228" s="409">
        <f>CHOOSE($B$3,#REF!,#REF!,#REF!,#REF!,#REF!,#REF!,#REF!,#REF!,#REF!,#REF!,SPD!AT228,#REF!,#REF!,#REF!)</f>
        <v>0.03</v>
      </c>
      <c r="AU228" s="409">
        <f>CHOOSE($B$3,#REF!,#REF!,#REF!,#REF!,#REF!,#REF!,#REF!,#REF!,#REF!,#REF!,SPD!AU228,#REF!,#REF!,#REF!)</f>
        <v>0.03</v>
      </c>
      <c r="AV228" s="409">
        <f>CHOOSE($B$3,#REF!,#REF!,#REF!,#REF!,#REF!,#REF!,#REF!,#REF!,#REF!,#REF!,SPD!AV228,#REF!,#REF!,#REF!)</f>
        <v>0.03</v>
      </c>
      <c r="AW228" s="184"/>
    </row>
    <row r="229" spans="1:49" ht="16">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CHOOSE($B$3,#REF!,#REF!,#REF!,#REF!,#REF!,#REF!,#REF!,#REF!,#REF!,#REF!,SPD!AR229,#REF!,#REF!,#REF!)</f>
        <v>0.6</v>
      </c>
      <c r="AS229" s="409">
        <f>CHOOSE($B$3,#REF!,#REF!,#REF!,#REF!,#REF!,#REF!,#REF!,#REF!,#REF!,#REF!,SPD!AS229,#REF!,#REF!,#REF!)</f>
        <v>0.6</v>
      </c>
      <c r="AT229" s="409">
        <f>CHOOSE($B$3,#REF!,#REF!,#REF!,#REF!,#REF!,#REF!,#REF!,#REF!,#REF!,#REF!,SPD!AT229,#REF!,#REF!,#REF!)</f>
        <v>0.6</v>
      </c>
      <c r="AU229" s="409">
        <f>CHOOSE($B$3,#REF!,#REF!,#REF!,#REF!,#REF!,#REF!,#REF!,#REF!,#REF!,#REF!,SPD!AU229,#REF!,#REF!,#REF!)</f>
        <v>0.6</v>
      </c>
      <c r="AV229" s="409">
        <f>CHOOSE($B$3,#REF!,#REF!,#REF!,#REF!,#REF!,#REF!,#REF!,#REF!,#REF!,#REF!,SPD!AV229,#REF!,#REF!,#REF!)</f>
        <v>0.6</v>
      </c>
      <c r="AW229" s="184"/>
    </row>
    <row r="230" spans="1:49" ht="16">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CHOOSE($B$3,#REF!,#REF!,#REF!,#REF!,#REF!,#REF!,#REF!,#REF!,#REF!,#REF!,SPD!AR230,#REF!,#REF!,#REF!)</f>
        <v>0.25</v>
      </c>
      <c r="AS230" s="409">
        <f>CHOOSE($B$3,#REF!,#REF!,#REF!,#REF!,#REF!,#REF!,#REF!,#REF!,#REF!,#REF!,SPD!AS230,#REF!,#REF!,#REF!)</f>
        <v>0.25</v>
      </c>
      <c r="AT230" s="409">
        <f>CHOOSE($B$3,#REF!,#REF!,#REF!,#REF!,#REF!,#REF!,#REF!,#REF!,#REF!,#REF!,SPD!AT230,#REF!,#REF!,#REF!)</f>
        <v>0.25</v>
      </c>
      <c r="AU230" s="409">
        <f>CHOOSE($B$3,#REF!,#REF!,#REF!,#REF!,#REF!,#REF!,#REF!,#REF!,#REF!,#REF!,SPD!AU230,#REF!,#REF!,#REF!)</f>
        <v>0.25</v>
      </c>
      <c r="AV230" s="409">
        <f>CHOOSE($B$3,#REF!,#REF!,#REF!,#REF!,#REF!,#REF!,#REF!,#REF!,#REF!,#REF!,SPD!AV230,#REF!,#REF!,#REF!)</f>
        <v>0.25</v>
      </c>
      <c r="AW230" s="184"/>
    </row>
    <row r="231" spans="1:49" ht="16">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CHOOSE($B$3,#REF!,#REF!,#REF!,#REF!,#REF!,#REF!,#REF!,#REF!,#REF!,#REF!,SPD!AR231,#REF!,#REF!,#REF!)</f>
        <v>0</v>
      </c>
      <c r="AS231" s="409">
        <f>CHOOSE($B$3,#REF!,#REF!,#REF!,#REF!,#REF!,#REF!,#REF!,#REF!,#REF!,#REF!,SPD!AS231,#REF!,#REF!,#REF!)</f>
        <v>0</v>
      </c>
      <c r="AT231" s="409">
        <f>CHOOSE($B$3,#REF!,#REF!,#REF!,#REF!,#REF!,#REF!,#REF!,#REF!,#REF!,#REF!,SPD!AT231,#REF!,#REF!,#REF!)</f>
        <v>0</v>
      </c>
      <c r="AU231" s="409">
        <f>CHOOSE($B$3,#REF!,#REF!,#REF!,#REF!,#REF!,#REF!,#REF!,#REF!,#REF!,#REF!,SPD!AU231,#REF!,#REF!,#REF!)</f>
        <v>0</v>
      </c>
      <c r="AV231" s="409">
        <f>CHOOSE($B$3,#REF!,#REF!,#REF!,#REF!,#REF!,#REF!,#REF!,#REF!,#REF!,#REF!,SPD!AV231,#REF!,#REF!,#REF!)</f>
        <v>0</v>
      </c>
      <c r="AW231" s="184"/>
    </row>
    <row r="232" spans="1:49" ht="16">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
      <c r="A234" s="82"/>
      <c r="B234" s="82"/>
      <c r="C234" s="82"/>
      <c r="D234" s="82"/>
      <c r="E234" s="82" t="s">
        <v>267</v>
      </c>
      <c r="F234" s="82"/>
      <c r="G234" s="82" t="s">
        <v>206</v>
      </c>
      <c r="H234" s="82"/>
      <c r="I234" s="409">
        <f>CHOOSE($B$3,#REF!,#REF!,#REF!,#REF!,#REF!,#REF!,#REF!,#REF!,#REF!,#REF!,SPD!I234,#REF!,#REF!,#REF!)</f>
        <v>0.7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
      <c r="A235" s="82"/>
      <c r="B235" s="82"/>
      <c r="C235" s="82"/>
      <c r="D235" s="82"/>
      <c r="E235" s="82" t="s">
        <v>268</v>
      </c>
      <c r="F235" s="82"/>
      <c r="G235" s="82" t="s">
        <v>206</v>
      </c>
      <c r="H235" s="82"/>
      <c r="I235" s="409">
        <f>CHOOSE($B$3,#REF!,#REF!,#REF!,#REF!,#REF!,#REF!,#REF!,#REF!,#REF!,#REF!,SPD!I235,#REF!,#REF!,#REF!)</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
      <c r="A237" s="82"/>
      <c r="B237" s="82"/>
      <c r="C237" s="82"/>
      <c r="D237" s="82"/>
      <c r="E237" s="2" t="s">
        <v>269</v>
      </c>
      <c r="F237" s="82"/>
      <c r="G237" s="82" t="s">
        <v>206</v>
      </c>
      <c r="H237" s="82" t="s">
        <v>270</v>
      </c>
      <c r="I237" s="409">
        <f>CHOOSE($B$3,#REF!,#REF!,#REF!,#REF!,#REF!,#REF!,#REF!,#REF!,#REF!,#REF!,SPD!I237,#REF!,#REF!,#REF!)</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
      <c r="A241" s="82"/>
      <c r="B241" s="82"/>
      <c r="C241" s="82"/>
      <c r="D241" s="82"/>
      <c r="E241" s="7" t="s">
        <v>272</v>
      </c>
      <c r="F241" s="82"/>
      <c r="G241" s="2" t="s">
        <v>101</v>
      </c>
      <c r="H241" s="82"/>
      <c r="I241" s="415">
        <f>CHOOSE($B$3,#REF!,#REF!,#REF!,#REF!,#REF!,#REF!,#REF!,#REF!,#REF!,#REF!,SPD!I241,#REF!,#REF!,#REF!)</f>
        <v>35.959466792851771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
      <c r="A242" s="82"/>
      <c r="B242" s="82"/>
      <c r="C242" s="82"/>
      <c r="D242" s="82"/>
      <c r="E242" s="7" t="s">
        <v>273</v>
      </c>
      <c r="F242" s="82"/>
      <c r="G242" s="2" t="s">
        <v>274</v>
      </c>
      <c r="H242" s="82"/>
      <c r="I242" s="416">
        <f>CHOOSE($B$3,#REF!,#REF!,#REF!,#REF!,#REF!,#REF!,#REF!,#REF!,#REF!,#REF!,SPD!I242,#REF!,#REF!,#REF!)</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
      <c r="A243" s="82"/>
      <c r="B243" s="82"/>
      <c r="C243" s="82"/>
      <c r="D243" s="82"/>
      <c r="E243" s="7" t="s">
        <v>275</v>
      </c>
      <c r="F243" s="82"/>
      <c r="G243" s="2" t="s">
        <v>276</v>
      </c>
      <c r="H243" s="82"/>
      <c r="I243" s="415">
        <f>CHOOSE($B$3,#REF!,#REF!,#REF!,#REF!,#REF!,#REF!,#REF!,#REF!,#REF!,#REF!,SPD!I243,#REF!,#REF!,#REF!)</f>
        <v>12</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
      <c r="A245" s="82"/>
      <c r="B245" s="82"/>
      <c r="C245" s="82"/>
      <c r="D245" s="82"/>
      <c r="E245" s="41" t="s">
        <v>277</v>
      </c>
      <c r="F245" s="82"/>
      <c r="G245" s="2" t="s">
        <v>278</v>
      </c>
      <c r="H245" s="82"/>
      <c r="I245" s="411">
        <f>CHOOSE($B$3,#REF!,#REF!,#REF!,#REF!,#REF!,#REF!,#REF!,#REF!,#REF!,#REF!,SPD!I245,#REF!,#REF!,#REF!)</f>
        <v>20</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
      <c r="A246" s="82"/>
      <c r="B246" s="82"/>
      <c r="C246" s="82"/>
      <c r="D246" s="82"/>
      <c r="E246" s="41" t="s">
        <v>279</v>
      </c>
      <c r="F246" s="82"/>
      <c r="G246" s="2" t="s">
        <v>278</v>
      </c>
      <c r="H246" s="82"/>
      <c r="I246" s="414"/>
      <c r="J246" s="334"/>
      <c r="K246" s="413">
        <f>CHOOSE($B$3,#REF!,#REF!,#REF!,#REF!,#REF!,#REF!,#REF!,#REF!,#REF!,#REF!,SPD!K246,#REF!,#REF!,#REF!)</f>
        <v>38</v>
      </c>
      <c r="L246" s="413">
        <f>CHOOSE($B$3,#REF!,#REF!,#REF!,#REF!,#REF!,#REF!,#REF!,#REF!,#REF!,#REF!,SPD!L246,#REF!,#REF!,#REF!)</f>
        <v>38</v>
      </c>
      <c r="M246" s="413">
        <f>CHOOSE($B$3,#REF!,#REF!,#REF!,#REF!,#REF!,#REF!,#REF!,#REF!,#REF!,#REF!,SPD!M246,#REF!,#REF!,#REF!)</f>
        <v>38</v>
      </c>
      <c r="N246" s="413">
        <f>CHOOSE($B$3,#REF!,#REF!,#REF!,#REF!,#REF!,#REF!,#REF!,#REF!,#REF!,#REF!,SPD!N246,#REF!,#REF!,#REF!)</f>
        <v>38</v>
      </c>
      <c r="O246" s="413">
        <f>CHOOSE($B$3,#REF!,#REF!,#REF!,#REF!,#REF!,#REF!,#REF!,#REF!,#REF!,#REF!,SPD!O246,#REF!,#REF!,#REF!)</f>
        <v>38</v>
      </c>
      <c r="P246" s="413">
        <f>CHOOSE($B$3,#REF!,#REF!,#REF!,#REF!,#REF!,#REF!,#REF!,#REF!,#REF!,#REF!,SPD!P246,#REF!,#REF!,#REF!)</f>
        <v>38</v>
      </c>
      <c r="Q246" s="413">
        <f>CHOOSE($B$3,#REF!,#REF!,#REF!,#REF!,#REF!,#REF!,#REF!,#REF!,#REF!,#REF!,SPD!Q246,#REF!,#REF!,#REF!)</f>
        <v>38</v>
      </c>
      <c r="R246" s="413">
        <f>CHOOSE($B$3,#REF!,#REF!,#REF!,#REF!,#REF!,#REF!,#REF!,#REF!,#REF!,#REF!,SPD!R246,#REF!,#REF!,#REF!)</f>
        <v>38</v>
      </c>
      <c r="S246" s="413">
        <f>CHOOSE($B$3,#REF!,#REF!,#REF!,#REF!,#REF!,#REF!,#REF!,#REF!,#REF!,#REF!,SPD!S246,#REF!,#REF!,#REF!)</f>
        <v>38</v>
      </c>
      <c r="T246" s="413">
        <f>CHOOSE($B$3,#REF!,#REF!,#REF!,#REF!,#REF!,#REF!,#REF!,#REF!,#REF!,#REF!,SPD!T246,#REF!,#REF!,#REF!)</f>
        <v>38</v>
      </c>
      <c r="U246" s="413">
        <f>CHOOSE($B$3,#REF!,#REF!,#REF!,#REF!,#REF!,#REF!,#REF!,#REF!,#REF!,#REF!,SPD!U246,#REF!,#REF!,#REF!)</f>
        <v>38</v>
      </c>
      <c r="V246" s="413">
        <f>CHOOSE($B$3,#REF!,#REF!,#REF!,#REF!,#REF!,#REF!,#REF!,#REF!,#REF!,#REF!,SPD!V246,#REF!,#REF!,#REF!)</f>
        <v>38</v>
      </c>
      <c r="W246" s="413">
        <f>CHOOSE($B$3,#REF!,#REF!,#REF!,#REF!,#REF!,#REF!,#REF!,#REF!,#REF!,#REF!,SPD!W246,#REF!,#REF!,#REF!)</f>
        <v>38</v>
      </c>
      <c r="X246" s="413">
        <f>CHOOSE($B$3,#REF!,#REF!,#REF!,#REF!,#REF!,#REF!,#REF!,#REF!,#REF!,#REF!,SPD!X246,#REF!,#REF!,#REF!)</f>
        <v>38</v>
      </c>
      <c r="Y246" s="413">
        <f>CHOOSE($B$3,#REF!,#REF!,#REF!,#REF!,#REF!,#REF!,#REF!,#REF!,#REF!,#REF!,SPD!Y246,#REF!,#REF!,#REF!)</f>
        <v>38</v>
      </c>
      <c r="Z246" s="413">
        <f>CHOOSE($B$3,#REF!,#REF!,#REF!,#REF!,#REF!,#REF!,#REF!,#REF!,#REF!,#REF!,SPD!Z246,#REF!,#REF!,#REF!)</f>
        <v>38</v>
      </c>
      <c r="AA246" s="413">
        <f>CHOOSE($B$3,#REF!,#REF!,#REF!,#REF!,#REF!,#REF!,#REF!,#REF!,#REF!,#REF!,SPD!AA246,#REF!,#REF!,#REF!)</f>
        <v>38</v>
      </c>
      <c r="AB246" s="413">
        <f>CHOOSE($B$3,#REF!,#REF!,#REF!,#REF!,#REF!,#REF!,#REF!,#REF!,#REF!,#REF!,SPD!AB246,#REF!,#REF!,#REF!)</f>
        <v>38</v>
      </c>
      <c r="AC246" s="413">
        <f>CHOOSE($B$3,#REF!,#REF!,#REF!,#REF!,#REF!,#REF!,#REF!,#REF!,#REF!,#REF!,SPD!AC246,#REF!,#REF!,#REF!)</f>
        <v>38</v>
      </c>
      <c r="AD246" s="413">
        <f>CHOOSE($B$3,#REF!,#REF!,#REF!,#REF!,#REF!,#REF!,#REF!,#REF!,#REF!,#REF!,SPD!AD246,#REF!,#REF!,#REF!)</f>
        <v>38</v>
      </c>
      <c r="AE246" s="413">
        <f>CHOOSE($B$3,#REF!,#REF!,#REF!,#REF!,#REF!,#REF!,#REF!,#REF!,#REF!,#REF!,SPD!AE246,#REF!,#REF!,#REF!)</f>
        <v>38</v>
      </c>
      <c r="AF246" s="413">
        <f>CHOOSE($B$3,#REF!,#REF!,#REF!,#REF!,#REF!,#REF!,#REF!,#REF!,#REF!,#REF!,SPD!AF246,#REF!,#REF!,#REF!)</f>
        <v>38</v>
      </c>
      <c r="AG246" s="413">
        <f>CHOOSE($B$3,#REF!,#REF!,#REF!,#REF!,#REF!,#REF!,#REF!,#REF!,#REF!,#REF!,SPD!AG246,#REF!,#REF!,#REF!)</f>
        <v>38</v>
      </c>
      <c r="AH246" s="413">
        <f>CHOOSE($B$3,#REF!,#REF!,#REF!,#REF!,#REF!,#REF!,#REF!,#REF!,#REF!,#REF!,SPD!AH246,#REF!,#REF!,#REF!)</f>
        <v>38</v>
      </c>
      <c r="AI246" s="413">
        <f>CHOOSE($B$3,#REF!,#REF!,#REF!,#REF!,#REF!,#REF!,#REF!,#REF!,#REF!,#REF!,SPD!AI246,#REF!,#REF!,#REF!)</f>
        <v>38</v>
      </c>
      <c r="AJ246" s="413">
        <f>CHOOSE($B$3,#REF!,#REF!,#REF!,#REF!,#REF!,#REF!,#REF!,#REF!,#REF!,#REF!,SPD!AJ246,#REF!,#REF!,#REF!)</f>
        <v>23.125</v>
      </c>
      <c r="AK246" s="413">
        <f>CHOOSE($B$3,#REF!,#REF!,#REF!,#REF!,#REF!,#REF!,#REF!,#REF!,#REF!,#REF!,SPD!AK246,#REF!,#REF!,#REF!)</f>
        <v>26.25</v>
      </c>
      <c r="AL246" s="413">
        <f>CHOOSE($B$3,#REF!,#REF!,#REF!,#REF!,#REF!,#REF!,#REF!,#REF!,#REF!,#REF!,SPD!AL246,#REF!,#REF!,#REF!)</f>
        <v>29.375</v>
      </c>
      <c r="AM246" s="413">
        <f>CHOOSE($B$3,#REF!,#REF!,#REF!,#REF!,#REF!,#REF!,#REF!,#REF!,#REF!,#REF!,SPD!AM246,#REF!,#REF!,#REF!)</f>
        <v>32.5</v>
      </c>
      <c r="AN246" s="413">
        <f>CHOOSE($B$3,#REF!,#REF!,#REF!,#REF!,#REF!,#REF!,#REF!,#REF!,#REF!,#REF!,SPD!AN246,#REF!,#REF!,#REF!)</f>
        <v>35.625</v>
      </c>
      <c r="AO246" s="413">
        <f>CHOOSE($B$3,#REF!,#REF!,#REF!,#REF!,#REF!,#REF!,#REF!,#REF!,#REF!,#REF!,SPD!AO246,#REF!,#REF!,#REF!)</f>
        <v>38.75</v>
      </c>
      <c r="AP246" s="413">
        <f>CHOOSE($B$3,#REF!,#REF!,#REF!,#REF!,#REF!,#REF!,#REF!,#REF!,#REF!,#REF!,SPD!AP246,#REF!,#REF!,#REF!)</f>
        <v>41.875</v>
      </c>
      <c r="AQ246" s="412">
        <f>CHOOSE($B$3,#REF!,#REF!,#REF!,#REF!,#REF!,#REF!,#REF!,#REF!,#REF!,#REF!,SPD!AQ246,#REF!,#REF!,#REF!)</f>
        <v>45</v>
      </c>
      <c r="AR246" s="145"/>
      <c r="AS246" s="184"/>
      <c r="AT246" s="184"/>
      <c r="AU246" s="184"/>
      <c r="AV246" s="184"/>
      <c r="AW246" s="184"/>
    </row>
    <row r="247" spans="1:49" ht="16">
      <c r="A247" s="82"/>
      <c r="B247" s="82"/>
      <c r="C247" s="82"/>
      <c r="D247" s="82"/>
      <c r="E247" s="7" t="s">
        <v>280</v>
      </c>
      <c r="F247" s="82"/>
      <c r="G247" s="7" t="s">
        <v>278</v>
      </c>
      <c r="H247" s="82"/>
      <c r="I247" s="414"/>
      <c r="J247" s="334"/>
      <c r="K247" s="413">
        <f>CHOOSE($B$3,#REF!,#REF!,#REF!,#REF!,#REF!,#REF!,#REF!,#REF!,#REF!,#REF!,SPD!K247,#REF!,#REF!,#REF!)</f>
        <v>20</v>
      </c>
      <c r="L247" s="413">
        <f>CHOOSE($B$3,#REF!,#REF!,#REF!,#REF!,#REF!,#REF!,#REF!,#REF!,#REF!,#REF!,SPD!L247,#REF!,#REF!,#REF!)</f>
        <v>20</v>
      </c>
      <c r="M247" s="413">
        <f>CHOOSE($B$3,#REF!,#REF!,#REF!,#REF!,#REF!,#REF!,#REF!,#REF!,#REF!,#REF!,SPD!M247,#REF!,#REF!,#REF!)</f>
        <v>20</v>
      </c>
      <c r="N247" s="413">
        <f>CHOOSE($B$3,#REF!,#REF!,#REF!,#REF!,#REF!,#REF!,#REF!,#REF!,#REF!,#REF!,SPD!N247,#REF!,#REF!,#REF!)</f>
        <v>20</v>
      </c>
      <c r="O247" s="413">
        <f>CHOOSE($B$3,#REF!,#REF!,#REF!,#REF!,#REF!,#REF!,#REF!,#REF!,#REF!,#REF!,SPD!O247,#REF!,#REF!,#REF!)</f>
        <v>20</v>
      </c>
      <c r="P247" s="413">
        <f>CHOOSE($B$3,#REF!,#REF!,#REF!,#REF!,#REF!,#REF!,#REF!,#REF!,#REF!,#REF!,SPD!P247,#REF!,#REF!,#REF!)</f>
        <v>20</v>
      </c>
      <c r="Q247" s="413">
        <f>CHOOSE($B$3,#REF!,#REF!,#REF!,#REF!,#REF!,#REF!,#REF!,#REF!,#REF!,#REF!,SPD!Q247,#REF!,#REF!,#REF!)</f>
        <v>20</v>
      </c>
      <c r="R247" s="413">
        <f>CHOOSE($B$3,#REF!,#REF!,#REF!,#REF!,#REF!,#REF!,#REF!,#REF!,#REF!,#REF!,SPD!R247,#REF!,#REF!,#REF!)</f>
        <v>20</v>
      </c>
      <c r="S247" s="413">
        <f>CHOOSE($B$3,#REF!,#REF!,#REF!,#REF!,#REF!,#REF!,#REF!,#REF!,#REF!,#REF!,SPD!S247,#REF!,#REF!,#REF!)</f>
        <v>20</v>
      </c>
      <c r="T247" s="413">
        <f>CHOOSE($B$3,#REF!,#REF!,#REF!,#REF!,#REF!,#REF!,#REF!,#REF!,#REF!,#REF!,SPD!T247,#REF!,#REF!,#REF!)</f>
        <v>20</v>
      </c>
      <c r="U247" s="413">
        <f>CHOOSE($B$3,#REF!,#REF!,#REF!,#REF!,#REF!,#REF!,#REF!,#REF!,#REF!,#REF!,SPD!U247,#REF!,#REF!,#REF!)</f>
        <v>20</v>
      </c>
      <c r="V247" s="413">
        <f>CHOOSE($B$3,#REF!,#REF!,#REF!,#REF!,#REF!,#REF!,#REF!,#REF!,#REF!,#REF!,SPD!V247,#REF!,#REF!,#REF!)</f>
        <v>20</v>
      </c>
      <c r="W247" s="413">
        <f>CHOOSE($B$3,#REF!,#REF!,#REF!,#REF!,#REF!,#REF!,#REF!,#REF!,#REF!,#REF!,SPD!W247,#REF!,#REF!,#REF!)</f>
        <v>20</v>
      </c>
      <c r="X247" s="413">
        <f>CHOOSE($B$3,#REF!,#REF!,#REF!,#REF!,#REF!,#REF!,#REF!,#REF!,#REF!,#REF!,SPD!X247,#REF!,#REF!,#REF!)</f>
        <v>20</v>
      </c>
      <c r="Y247" s="413">
        <f>CHOOSE($B$3,#REF!,#REF!,#REF!,#REF!,#REF!,#REF!,#REF!,#REF!,#REF!,#REF!,SPD!Y247,#REF!,#REF!,#REF!)</f>
        <v>20</v>
      </c>
      <c r="Z247" s="413">
        <f>CHOOSE($B$3,#REF!,#REF!,#REF!,#REF!,#REF!,#REF!,#REF!,#REF!,#REF!,#REF!,SPD!Z247,#REF!,#REF!,#REF!)</f>
        <v>20</v>
      </c>
      <c r="AA247" s="413">
        <f>CHOOSE($B$3,#REF!,#REF!,#REF!,#REF!,#REF!,#REF!,#REF!,#REF!,#REF!,#REF!,SPD!AA247,#REF!,#REF!,#REF!)</f>
        <v>20</v>
      </c>
      <c r="AB247" s="413">
        <f>CHOOSE($B$3,#REF!,#REF!,#REF!,#REF!,#REF!,#REF!,#REF!,#REF!,#REF!,#REF!,SPD!AB247,#REF!,#REF!,#REF!)</f>
        <v>20</v>
      </c>
      <c r="AC247" s="413">
        <f>CHOOSE($B$3,#REF!,#REF!,#REF!,#REF!,#REF!,#REF!,#REF!,#REF!,#REF!,#REF!,SPD!AC247,#REF!,#REF!,#REF!)</f>
        <v>20</v>
      </c>
      <c r="AD247" s="413">
        <f>CHOOSE($B$3,#REF!,#REF!,#REF!,#REF!,#REF!,#REF!,#REF!,#REF!,#REF!,#REF!,SPD!AD247,#REF!,#REF!,#REF!)</f>
        <v>20</v>
      </c>
      <c r="AE247" s="413">
        <f>CHOOSE($B$3,#REF!,#REF!,#REF!,#REF!,#REF!,#REF!,#REF!,#REF!,#REF!,#REF!,SPD!AE247,#REF!,#REF!,#REF!)</f>
        <v>20</v>
      </c>
      <c r="AF247" s="413">
        <f>CHOOSE($B$3,#REF!,#REF!,#REF!,#REF!,#REF!,#REF!,#REF!,#REF!,#REF!,#REF!,SPD!AF247,#REF!,#REF!,#REF!)</f>
        <v>20</v>
      </c>
      <c r="AG247" s="413">
        <f>CHOOSE($B$3,#REF!,#REF!,#REF!,#REF!,#REF!,#REF!,#REF!,#REF!,#REF!,#REF!,SPD!AG247,#REF!,#REF!,#REF!)</f>
        <v>20</v>
      </c>
      <c r="AH247" s="413">
        <f>CHOOSE($B$3,#REF!,#REF!,#REF!,#REF!,#REF!,#REF!,#REF!,#REF!,#REF!,#REF!,SPD!AH247,#REF!,#REF!,#REF!)</f>
        <v>20</v>
      </c>
      <c r="AI247" s="413">
        <f>CHOOSE($B$3,#REF!,#REF!,#REF!,#REF!,#REF!,#REF!,#REF!,#REF!,#REF!,#REF!,SPD!AI247,#REF!,#REF!,#REF!)</f>
        <v>20</v>
      </c>
      <c r="AJ247" s="413">
        <f>CHOOSE($B$3,#REF!,#REF!,#REF!,#REF!,#REF!,#REF!,#REF!,#REF!,#REF!,#REF!,SPD!AJ247,#REF!,#REF!,#REF!)</f>
        <v>23.125</v>
      </c>
      <c r="AK247" s="413">
        <f>CHOOSE($B$3,#REF!,#REF!,#REF!,#REF!,#REF!,#REF!,#REF!,#REF!,#REF!,#REF!,SPD!AK247,#REF!,#REF!,#REF!)</f>
        <v>26.25</v>
      </c>
      <c r="AL247" s="413">
        <f>CHOOSE($B$3,#REF!,#REF!,#REF!,#REF!,#REF!,#REF!,#REF!,#REF!,#REF!,#REF!,SPD!AL247,#REF!,#REF!,#REF!)</f>
        <v>29.375</v>
      </c>
      <c r="AM247" s="413">
        <f>CHOOSE($B$3,#REF!,#REF!,#REF!,#REF!,#REF!,#REF!,#REF!,#REF!,#REF!,#REF!,SPD!AM247,#REF!,#REF!,#REF!)</f>
        <v>32.5</v>
      </c>
      <c r="AN247" s="413">
        <f>CHOOSE($B$3,#REF!,#REF!,#REF!,#REF!,#REF!,#REF!,#REF!,#REF!,#REF!,#REF!,SPD!AN247,#REF!,#REF!,#REF!)</f>
        <v>35.625</v>
      </c>
      <c r="AO247" s="413">
        <f>CHOOSE($B$3,#REF!,#REF!,#REF!,#REF!,#REF!,#REF!,#REF!,#REF!,#REF!,#REF!,SPD!AO247,#REF!,#REF!,#REF!)</f>
        <v>38.75</v>
      </c>
      <c r="AP247" s="413">
        <f>CHOOSE($B$3,#REF!,#REF!,#REF!,#REF!,#REF!,#REF!,#REF!,#REF!,#REF!,#REF!,SPD!AP247,#REF!,#REF!,#REF!)</f>
        <v>41.875</v>
      </c>
      <c r="AQ247" s="412">
        <f>CHOOSE($B$3,#REF!,#REF!,#REF!,#REF!,#REF!,#REF!,#REF!,#REF!,#REF!,#REF!,SPD!AQ247,#REF!,#REF!,#REF!)</f>
        <v>45</v>
      </c>
      <c r="AR247" s="145"/>
      <c r="AS247" s="184"/>
      <c r="AT247" s="184"/>
      <c r="AU247" s="184"/>
      <c r="AV247" s="184"/>
      <c r="AW247" s="184"/>
    </row>
    <row r="248" spans="1:49" ht="16">
      <c r="A248" s="82"/>
      <c r="B248" s="82"/>
      <c r="C248" s="82"/>
      <c r="D248" s="82"/>
      <c r="E248" s="41" t="s">
        <v>281</v>
      </c>
      <c r="F248" s="82"/>
      <c r="G248" s="2" t="s">
        <v>278</v>
      </c>
      <c r="H248" s="82"/>
      <c r="I248" s="411">
        <f>CHOOSE($B$3,#REF!,#REF!,#REF!,#REF!,#REF!,#REF!,#REF!,#REF!,#REF!,#REF!,SPD!I248,#REF!,#REF!,#REF!)</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
      <c r="A249" s="82"/>
      <c r="B249" s="82"/>
      <c r="C249" s="82"/>
      <c r="D249" s="82"/>
      <c r="E249" s="41" t="s">
        <v>282</v>
      </c>
      <c r="F249" s="82"/>
      <c r="G249" s="2" t="s">
        <v>278</v>
      </c>
      <c r="H249" s="82"/>
      <c r="I249" s="411">
        <f>CHOOSE($B$3,#REF!,#REF!,#REF!,#REF!,#REF!,#REF!,#REF!,#REF!,#REF!,#REF!,SPD!I249,#REF!,#REF!,#REF!)</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
      <c r="A250" s="82"/>
      <c r="B250" s="82"/>
      <c r="C250" s="82"/>
      <c r="D250" s="82"/>
      <c r="E250" s="7" t="s">
        <v>283</v>
      </c>
      <c r="F250" s="82"/>
      <c r="G250" s="2" t="s">
        <v>101</v>
      </c>
      <c r="H250" s="82"/>
      <c r="I250" s="207"/>
      <c r="J250" s="333"/>
      <c r="K250" s="413">
        <f>CHOOSE($B$3,#REF!,#REF!,#REF!,#REF!,#REF!,#REF!,#REF!,#REF!,#REF!,#REF!,SPD!K250,#REF!,#REF!,#REF!)</f>
        <v>141.70383586083852</v>
      </c>
      <c r="L250" s="413">
        <f>CHOOSE($B$3,#REF!,#REF!,#REF!,#REF!,#REF!,#REF!,#REF!,#REF!,#REF!,#REF!,SPD!L250,#REF!,#REF!,#REF!)</f>
        <v>119.1053156320512</v>
      </c>
      <c r="M250" s="413">
        <f>CHOOSE($B$3,#REF!,#REF!,#REF!,#REF!,#REF!,#REF!,#REF!,#REF!,#REF!,#REF!,SPD!M250,#REF!,#REF!,#REF!)</f>
        <v>114.84493886760769</v>
      </c>
      <c r="N250" s="413">
        <f>CHOOSE($B$3,#REF!,#REF!,#REF!,#REF!,#REF!,#REF!,#REF!,#REF!,#REF!,#REF!,SPD!N250,#REF!,#REF!,#REF!)</f>
        <v>121.88382221755786</v>
      </c>
      <c r="O250" s="413">
        <f>CHOOSE($B$3,#REF!,#REF!,#REF!,#REF!,#REF!,#REF!,#REF!,#REF!,#REF!,#REF!,SPD!O250,#REF!,#REF!,#REF!)</f>
        <v>110.02886078606286</v>
      </c>
      <c r="P250" s="413">
        <f>CHOOSE($B$3,#REF!,#REF!,#REF!,#REF!,#REF!,#REF!,#REF!,#REF!,#REF!,#REF!,SPD!P250,#REF!,#REF!,#REF!)</f>
        <v>117.06774413601302</v>
      </c>
      <c r="Q250" s="413">
        <f>CHOOSE($B$3,#REF!,#REF!,#REF!,#REF!,#REF!,#REF!,#REF!,#REF!,#REF!,#REF!,SPD!Q250,#REF!,#REF!,#REF!)</f>
        <v>90.764548459883514</v>
      </c>
      <c r="R250" s="413">
        <f>CHOOSE($B$3,#REF!,#REF!,#REF!,#REF!,#REF!,#REF!,#REF!,#REF!,#REF!,#REF!,SPD!R250,#REF!,#REF!,#REF!)</f>
        <v>100.39670462297319</v>
      </c>
      <c r="S250" s="413">
        <f>CHOOSE($B$3,#REF!,#REF!,#REF!,#REF!,#REF!,#REF!,#REF!,#REF!,#REF!,#REF!,SPD!S250,#REF!,#REF!,#REF!)</f>
        <v>111.19383237494276</v>
      </c>
      <c r="T250" s="413">
        <f>CHOOSE($B$3,#REF!,#REF!,#REF!,#REF!,#REF!,#REF!,#REF!,#REF!,#REF!,#REF!,SPD!T250,#REF!,#REF!,#REF!)</f>
        <v>103.09538122432622</v>
      </c>
      <c r="U250" s="413">
        <f>CHOOSE($B$3,#REF!,#REF!,#REF!,#REF!,#REF!,#REF!,#REF!,#REF!,#REF!,#REF!,SPD!U250,#REF!,#REF!,#REF!)</f>
        <v>109.03541200505889</v>
      </c>
      <c r="V250" s="413">
        <f>CHOOSE($B$3,#REF!,#REF!,#REF!,#REF!,#REF!,#REF!,#REF!,#REF!,#REF!,#REF!,SPD!V250,#REF!,#REF!,#REF!)</f>
        <v>141.77522166307213</v>
      </c>
      <c r="W250" s="413">
        <f>CHOOSE($B$3,#REF!,#REF!,#REF!,#REF!,#REF!,#REF!,#REF!,#REF!,#REF!,#REF!,SPD!W250,#REF!,#REF!,#REF!)</f>
        <v>131.24376820248207</v>
      </c>
      <c r="X250" s="413">
        <f>CHOOSE($B$3,#REF!,#REF!,#REF!,#REF!,#REF!,#REF!,#REF!,#REF!,#REF!,#REF!,SPD!X250,#REF!,#REF!,#REF!)</f>
        <v>131.38557793305023</v>
      </c>
      <c r="Y250" s="413">
        <f>CHOOSE($B$3,#REF!,#REF!,#REF!,#REF!,#REF!,#REF!,#REF!,#REF!,#REF!,#REF!,SPD!Y250,#REF!,#REF!,#REF!)</f>
        <v>116.38578715518474</v>
      </c>
      <c r="Z250" s="413">
        <f>CHOOSE($B$3,#REF!,#REF!,#REF!,#REF!,#REF!,#REF!,#REF!,#REF!,#REF!,#REF!,SPD!Z250,#REF!,#REF!,#REF!)</f>
        <v>118.21000616407133</v>
      </c>
      <c r="AA250" s="413">
        <f>CHOOSE($B$3,#REF!,#REF!,#REF!,#REF!,#REF!,#REF!,#REF!,#REF!,#REF!,#REF!,SPD!AA250,#REF!,#REF!,#REF!)</f>
        <v>133.78107433545651</v>
      </c>
      <c r="AB250" s="413">
        <f>CHOOSE($B$3,#REF!,#REF!,#REF!,#REF!,#REF!,#REF!,#REF!,#REF!,#REF!,#REF!,SPD!AB250,#REF!,#REF!,#REF!)</f>
        <v>144.83278417437833</v>
      </c>
      <c r="AC250" s="413">
        <f>CHOOSE($B$3,#REF!,#REF!,#REF!,#REF!,#REF!,#REF!,#REF!,#REF!,#REF!,#REF!,SPD!AC250,#REF!,#REF!,#REF!)</f>
        <v>142.02723675021343</v>
      </c>
      <c r="AD250" s="413">
        <f>CHOOSE($B$3,#REF!,#REF!,#REF!,#REF!,#REF!,#REF!,#REF!,#REF!,#REF!,#REF!,SPD!AD250,#REF!,#REF!,#REF!)</f>
        <v>117.78128364610983</v>
      </c>
      <c r="AE250" s="413">
        <f>CHOOSE($B$3,#REF!,#REF!,#REF!,#REF!,#REF!,#REF!,#REF!,#REF!,#REF!,#REF!,SPD!AE250,#REF!,#REF!,#REF!)</f>
        <v>146.45264432823487</v>
      </c>
      <c r="AF250" s="413">
        <f>CHOOSE($B$3,#REF!,#REF!,#REF!,#REF!,#REF!,#REF!,#REF!,#REF!,#REF!,#REF!,SPD!AF250,#REF!,#REF!,#REF!)</f>
        <v>160.98914503286744</v>
      </c>
      <c r="AG250" s="413">
        <f>CHOOSE($B$3,#REF!,#REF!,#REF!,#REF!,#REF!,#REF!,#REF!,#REF!,#REF!,#REF!,SPD!AG250,#REF!,#REF!,#REF!)</f>
        <v>155.78448247749279</v>
      </c>
      <c r="AH250" s="413">
        <f>CHOOSE($B$3,#REF!,#REF!,#REF!,#REF!,#REF!,#REF!,#REF!,#REF!,#REF!,#REF!,SPD!AH250,#REF!,#REF!,#REF!)</f>
        <v>179.56202459360057</v>
      </c>
      <c r="AI250" s="413">
        <f>CHOOSE($B$3,#REF!,#REF!,#REF!,#REF!,#REF!,#REF!,#REF!,#REF!,#REF!,#REF!,SPD!AI250,#REF!,#REF!,#REF!)</f>
        <v>187.99090806333683</v>
      </c>
      <c r="AJ250" s="135"/>
      <c r="AK250" s="135"/>
      <c r="AL250" s="135"/>
      <c r="AM250" s="135"/>
      <c r="AN250" s="135"/>
      <c r="AO250" s="135"/>
      <c r="AP250" s="135"/>
      <c r="AQ250" s="245"/>
      <c r="AR250" s="145"/>
      <c r="AS250" s="184"/>
      <c r="AT250" s="184"/>
      <c r="AU250" s="184"/>
      <c r="AV250" s="184"/>
      <c r="AW250" s="184"/>
    </row>
    <row r="251" spans="1:49" ht="16">
      <c r="A251" s="82"/>
      <c r="B251" s="82"/>
      <c r="C251" s="82"/>
      <c r="D251" s="82"/>
      <c r="E251" s="7" t="s">
        <v>284</v>
      </c>
      <c r="F251" s="82"/>
      <c r="G251" s="2" t="s">
        <v>101</v>
      </c>
      <c r="H251" s="82"/>
      <c r="I251" s="82"/>
      <c r="J251" s="82"/>
      <c r="K251" s="413">
        <f>CHOOSE($B$3,#REF!,#REF!,#REF!,#REF!,#REF!,#REF!,#REF!,#REF!,#REF!,#REF!,SPD!K251,#REF!,#REF!,#REF!)</f>
        <v>0</v>
      </c>
      <c r="L251" s="413">
        <f>CHOOSE($B$3,#REF!,#REF!,#REF!,#REF!,#REF!,#REF!,#REF!,#REF!,#REF!,#REF!,SPD!L251,#REF!,#REF!,#REF!)</f>
        <v>0</v>
      </c>
      <c r="M251" s="413">
        <f>CHOOSE($B$3,#REF!,#REF!,#REF!,#REF!,#REF!,#REF!,#REF!,#REF!,#REF!,#REF!,SPD!M251,#REF!,#REF!,#REF!)</f>
        <v>0</v>
      </c>
      <c r="N251" s="413">
        <f>CHOOSE($B$3,#REF!,#REF!,#REF!,#REF!,#REF!,#REF!,#REF!,#REF!,#REF!,#REF!,SPD!N251,#REF!,#REF!,#REF!)</f>
        <v>0</v>
      </c>
      <c r="O251" s="413">
        <f>CHOOSE($B$3,#REF!,#REF!,#REF!,#REF!,#REF!,#REF!,#REF!,#REF!,#REF!,#REF!,SPD!O251,#REF!,#REF!,#REF!)</f>
        <v>0</v>
      </c>
      <c r="P251" s="413">
        <f>CHOOSE($B$3,#REF!,#REF!,#REF!,#REF!,#REF!,#REF!,#REF!,#REF!,#REF!,#REF!,SPD!P251,#REF!,#REF!,#REF!)</f>
        <v>0</v>
      </c>
      <c r="Q251" s="413">
        <f>CHOOSE($B$3,#REF!,#REF!,#REF!,#REF!,#REF!,#REF!,#REF!,#REF!,#REF!,#REF!,SPD!Q251,#REF!,#REF!,#REF!)</f>
        <v>0</v>
      </c>
      <c r="R251" s="413">
        <f>CHOOSE($B$3,#REF!,#REF!,#REF!,#REF!,#REF!,#REF!,#REF!,#REF!,#REF!,#REF!,SPD!R251,#REF!,#REF!,#REF!)</f>
        <v>0</v>
      </c>
      <c r="S251" s="413">
        <f>CHOOSE($B$3,#REF!,#REF!,#REF!,#REF!,#REF!,#REF!,#REF!,#REF!,#REF!,#REF!,SPD!S251,#REF!,#REF!,#REF!)</f>
        <v>0</v>
      </c>
      <c r="T251" s="413">
        <f>CHOOSE($B$3,#REF!,#REF!,#REF!,#REF!,#REF!,#REF!,#REF!,#REF!,#REF!,#REF!,SPD!T251,#REF!,#REF!,#REF!)</f>
        <v>0</v>
      </c>
      <c r="U251" s="413">
        <f>CHOOSE($B$3,#REF!,#REF!,#REF!,#REF!,#REF!,#REF!,#REF!,#REF!,#REF!,#REF!,SPD!U251,#REF!,#REF!,#REF!)</f>
        <v>0</v>
      </c>
      <c r="V251" s="413">
        <f>CHOOSE($B$3,#REF!,#REF!,#REF!,#REF!,#REF!,#REF!,#REF!,#REF!,#REF!,#REF!,SPD!V251,#REF!,#REF!,#REF!)</f>
        <v>0</v>
      </c>
      <c r="W251" s="413">
        <f>CHOOSE($B$3,#REF!,#REF!,#REF!,#REF!,#REF!,#REF!,#REF!,#REF!,#REF!,#REF!,SPD!W251,#REF!,#REF!,#REF!)</f>
        <v>0</v>
      </c>
      <c r="X251" s="413">
        <f>CHOOSE($B$3,#REF!,#REF!,#REF!,#REF!,#REF!,#REF!,#REF!,#REF!,#REF!,#REF!,SPD!X251,#REF!,#REF!,#REF!)</f>
        <v>0</v>
      </c>
      <c r="Y251" s="413">
        <f>CHOOSE($B$3,#REF!,#REF!,#REF!,#REF!,#REF!,#REF!,#REF!,#REF!,#REF!,#REF!,SPD!Y251,#REF!,#REF!,#REF!)</f>
        <v>0</v>
      </c>
      <c r="Z251" s="413">
        <f>CHOOSE($B$3,#REF!,#REF!,#REF!,#REF!,#REF!,#REF!,#REF!,#REF!,#REF!,#REF!,SPD!Z251,#REF!,#REF!,#REF!)</f>
        <v>0</v>
      </c>
      <c r="AA251" s="413">
        <f>CHOOSE($B$3,#REF!,#REF!,#REF!,#REF!,#REF!,#REF!,#REF!,#REF!,#REF!,#REF!,SPD!AA251,#REF!,#REF!,#REF!)</f>
        <v>0</v>
      </c>
      <c r="AB251" s="413">
        <f>CHOOSE($B$3,#REF!,#REF!,#REF!,#REF!,#REF!,#REF!,#REF!,#REF!,#REF!,#REF!,SPD!AB251,#REF!,#REF!,#REF!)</f>
        <v>0</v>
      </c>
      <c r="AC251" s="413">
        <f>CHOOSE($B$3,#REF!,#REF!,#REF!,#REF!,#REF!,#REF!,#REF!,#REF!,#REF!,#REF!,SPD!AC251,#REF!,#REF!,#REF!)</f>
        <v>0</v>
      </c>
      <c r="AD251" s="413">
        <f>CHOOSE($B$3,#REF!,#REF!,#REF!,#REF!,#REF!,#REF!,#REF!,#REF!,#REF!,#REF!,SPD!AD251,#REF!,#REF!,#REF!)</f>
        <v>0</v>
      </c>
      <c r="AE251" s="413">
        <f>CHOOSE($B$3,#REF!,#REF!,#REF!,#REF!,#REF!,#REF!,#REF!,#REF!,#REF!,#REF!,SPD!AE251,#REF!,#REF!,#REF!)</f>
        <v>0</v>
      </c>
      <c r="AF251" s="413">
        <f>CHOOSE($B$3,#REF!,#REF!,#REF!,#REF!,#REF!,#REF!,#REF!,#REF!,#REF!,#REF!,SPD!AF251,#REF!,#REF!,#REF!)</f>
        <v>0</v>
      </c>
      <c r="AG251" s="413">
        <f>CHOOSE($B$3,#REF!,#REF!,#REF!,#REF!,#REF!,#REF!,#REF!,#REF!,#REF!,#REF!,SPD!AG251,#REF!,#REF!,#REF!)</f>
        <v>0</v>
      </c>
      <c r="AH251" s="413">
        <f>CHOOSE($B$3,#REF!,#REF!,#REF!,#REF!,#REF!,#REF!,#REF!,#REF!,#REF!,#REF!,SPD!AH251,#REF!,#REF!,#REF!)</f>
        <v>0</v>
      </c>
      <c r="AI251" s="413">
        <f>CHOOSE($B$3,#REF!,#REF!,#REF!,#REF!,#REF!,#REF!,#REF!,#REF!,#REF!,#REF!,SPD!AI251,#REF!,#REF!,#REF!)</f>
        <v>0</v>
      </c>
      <c r="AJ251" s="135"/>
      <c r="AK251" s="135"/>
      <c r="AL251" s="135"/>
      <c r="AM251" s="135"/>
      <c r="AN251" s="135"/>
      <c r="AO251" s="135"/>
      <c r="AP251" s="135"/>
      <c r="AQ251" s="245"/>
      <c r="AR251" s="145"/>
      <c r="AS251" s="184"/>
      <c r="AT251" s="184"/>
      <c r="AU251" s="184"/>
      <c r="AV251" s="184"/>
      <c r="AW251" s="184"/>
    </row>
    <row r="252" spans="1:49" ht="16">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CHOOSE($B$3,#REF!,#REF!,#REF!,#REF!,#REF!,#REF!,#REF!,#REF!,#REF!,#REF!,SPD!AH252,#REF!,#REF!,#REF!)</f>
        <v>1.5992440840751951</v>
      </c>
      <c r="AI252" s="413">
        <f>CHOOSE($B$3,#REF!,#REF!,#REF!,#REF!,#REF!,#REF!,#REF!,#REF!,#REF!,#REF!,SPD!AI252,#REF!,#REF!,#REF!)</f>
        <v>1.3540849121104173</v>
      </c>
      <c r="AJ252" s="135"/>
      <c r="AK252" s="135"/>
      <c r="AL252" s="135"/>
      <c r="AM252" s="135"/>
      <c r="AN252" s="135"/>
      <c r="AO252" s="135"/>
      <c r="AP252" s="135"/>
      <c r="AQ252" s="245"/>
      <c r="AR252" s="145"/>
      <c r="AS252" s="184"/>
      <c r="AT252" s="184"/>
      <c r="AU252" s="184"/>
      <c r="AV252" s="184"/>
      <c r="AW252" s="184"/>
    </row>
    <row r="253" spans="1:49" ht="16">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
      <c r="A256" s="82"/>
      <c r="B256" s="82"/>
      <c r="C256" s="82"/>
      <c r="D256" s="82"/>
      <c r="E256" s="82" t="s">
        <v>253</v>
      </c>
      <c r="F256" s="82"/>
      <c r="G256" s="82" t="s">
        <v>206</v>
      </c>
      <c r="H256" s="82" t="s">
        <v>287</v>
      </c>
      <c r="I256" s="409">
        <f>CHOOSE($B$3,#REF!,#REF!,#REF!,#REF!,#REF!,#REF!,#REF!,#REF!,#REF!,#REF!,SPD!I256,#REF!,#REF!,#REF!)</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
      <c r="A257" s="82"/>
      <c r="B257" s="82"/>
      <c r="C257" s="82"/>
      <c r="D257" s="82"/>
      <c r="E257" s="82" t="s">
        <v>288</v>
      </c>
      <c r="F257" s="82"/>
      <c r="G257" s="82" t="s">
        <v>246</v>
      </c>
      <c r="H257" s="82" t="s">
        <v>289</v>
      </c>
      <c r="I257" s="409">
        <f>CHOOSE($B$3,#REF!,#REF!,#REF!,#REF!,#REF!,#REF!,#REF!,#REF!,#REF!,#REF!,SPD!I257,#REF!,#REF!,#REF!)</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
      <c r="A258" s="82"/>
      <c r="B258" s="82"/>
      <c r="C258" s="82"/>
      <c r="D258" s="82"/>
      <c r="E258" s="82" t="s">
        <v>290</v>
      </c>
      <c r="F258" s="82"/>
      <c r="G258" s="82" t="s">
        <v>246</v>
      </c>
      <c r="H258" s="82" t="s">
        <v>291</v>
      </c>
      <c r="I258" s="409">
        <f>CHOOSE($B$3,#REF!,#REF!,#REF!,#REF!,#REF!,#REF!,#REF!,#REF!,#REF!,#REF!,SPD!I258,#REF!,#REF!,#REF!)</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
      <c r="A259" s="82"/>
      <c r="B259" s="82"/>
      <c r="C259" s="82"/>
      <c r="D259" s="82"/>
      <c r="E259" s="82" t="s">
        <v>292</v>
      </c>
      <c r="F259" s="82"/>
      <c r="G259" s="82" t="s">
        <v>206</v>
      </c>
      <c r="H259" s="82" t="s">
        <v>293</v>
      </c>
      <c r="I259" s="409">
        <f>CHOOSE($B$3,#REF!,#REF!,#REF!,#REF!,#REF!,#REF!,#REF!,#REF!,#REF!,#REF!,SPD!I259,#REF!,#REF!,#REF!)</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
      <c r="A260" s="82"/>
      <c r="B260" s="82"/>
      <c r="C260" s="82"/>
      <c r="D260" s="82"/>
      <c r="E260" s="82" t="s">
        <v>294</v>
      </c>
      <c r="F260" s="82"/>
      <c r="G260" s="82" t="s">
        <v>206</v>
      </c>
      <c r="H260" s="82" t="s">
        <v>295</v>
      </c>
      <c r="I260" s="409">
        <f>CHOOSE($B$3,#REF!,#REF!,#REF!,#REF!,#REF!,#REF!,#REF!,#REF!,#REF!,#REF!,SPD!I260,#REF!,#REF!,#REF!)</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CHOOSE($B$3,#REF!,#REF!,#REF!,#REF!,#REF!,#REF!,#REF!,#REF!,#REF!,#REF!,SPD!AR264,#REF!,#REF!,#REF!)</f>
        <v>542.94570547950002</v>
      </c>
      <c r="AS264" s="476">
        <f>CHOOSE($B$3,#REF!,#REF!,#REF!,#REF!,#REF!,#REF!,#REF!,#REF!,#REF!,#REF!,SPD!AS264,#REF!,#REF!,#REF!)</f>
        <v>599.38234671000009</v>
      </c>
      <c r="AT264" s="476">
        <f>CHOOSE($B$3,#REF!,#REF!,#REF!,#REF!,#REF!,#REF!,#REF!,#REF!,#REF!,#REF!,SPD!AT264,#REF!,#REF!,#REF!)</f>
        <v>490.3259263112875</v>
      </c>
      <c r="AU264" s="476">
        <f>CHOOSE($B$3,#REF!,#REF!,#REF!,#REF!,#REF!,#REF!,#REF!,#REF!,#REF!,#REF!,SPD!AU264,#REF!,#REF!,#REF!)</f>
        <v>550.63276408662955</v>
      </c>
      <c r="AV264" s="476">
        <f>CHOOSE($B$3,#REF!,#REF!,#REF!,#REF!,#REF!,#REF!,#REF!,#REF!,#REF!,#REF!,SPD!AV264,#REF!,#REF!,#REF!)</f>
        <v>0</v>
      </c>
      <c r="AW264" s="184"/>
    </row>
    <row r="265" spans="1:49" ht="16">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CHOOSE($B$3,#REF!,#REF!,#REF!,#REF!,#REF!,#REF!,#REF!,#REF!,#REF!,#REF!,SPD!AR265,#REF!,#REF!,#REF!)</f>
        <v>531.3259489622983</v>
      </c>
      <c r="AS265" s="476">
        <f>CHOOSE($B$3,#REF!,#REF!,#REF!,#REF!,#REF!,#REF!,#REF!,#REF!,#REF!,#REF!,SPD!AS265,#REF!,#REF!,#REF!)</f>
        <v>660.30339942531361</v>
      </c>
      <c r="AT265" s="476">
        <f>CHOOSE($B$3,#REF!,#REF!,#REF!,#REF!,#REF!,#REF!,#REF!,#REF!,#REF!,#REF!,SPD!AT265,#REF!,#REF!,#REF!)</f>
        <v>490.27779617688293</v>
      </c>
      <c r="AU265" s="476">
        <f>CHOOSE($B$3,#REF!,#REF!,#REF!,#REF!,#REF!,#REF!,#REF!,#REF!,#REF!,#REF!,SPD!AU265,#REF!,#REF!,#REF!)</f>
        <v>550.59634768885724</v>
      </c>
      <c r="AV265" s="476">
        <f>CHOOSE($B$3,#REF!,#REF!,#REF!,#REF!,#REF!,#REF!,#REF!,#REF!,#REF!,#REF!,SPD!AV265,#REF!,#REF!,#REF!)</f>
        <v>0</v>
      </c>
      <c r="AW265" s="184"/>
    </row>
    <row r="266" spans="1:49" ht="16">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CHOOSE($B$3,#REF!,#REF!,#REF!,#REF!,#REF!,#REF!,#REF!,#REF!,#REF!,#REF!,SPD!AQ266,#REF!,#REF!,#REF!)</f>
        <v>0</v>
      </c>
      <c r="AR266" s="476">
        <f>CHOOSE($B$3,#REF!,#REF!,#REF!,#REF!,#REF!,#REF!,#REF!,#REF!,#REF!,#REF!,SPD!AR266,#REF!,#REF!,#REF!)</f>
        <v>358.78946220581747</v>
      </c>
      <c r="AS266" s="476">
        <f>CHOOSE($B$3,#REF!,#REF!,#REF!,#REF!,#REF!,#REF!,#REF!,#REF!,#REF!,#REF!,SPD!AS266,#REF!,#REF!,#REF!)</f>
        <v>358.78946220581747</v>
      </c>
      <c r="AT266" s="476">
        <f>CHOOSE($B$3,#REF!,#REF!,#REF!,#REF!,#REF!,#REF!,#REF!,#REF!,#REF!,#REF!,SPD!AT266,#REF!,#REF!,#REF!)</f>
        <v>347.95778859070782</v>
      </c>
      <c r="AU266" s="476">
        <f>CHOOSE($B$3,#REF!,#REF!,#REF!,#REF!,#REF!,#REF!,#REF!,#REF!,#REF!,#REF!,SPD!AU266,#REF!,#REF!,#REF!)</f>
        <v>357.98596846210404</v>
      </c>
      <c r="AV266" s="476">
        <f>CHOOSE($B$3,#REF!,#REF!,#REF!,#REF!,#REF!,#REF!,#REF!,#REF!,#REF!,#REF!,SPD!AV266,#REF!,#REF!,#REF!)</f>
        <v>0</v>
      </c>
      <c r="AW266" s="184"/>
    </row>
    <row r="267" spans="1:49" ht="16">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CHOOSE($B$3,#REF!,#REF!,#REF!,#REF!,#REF!,#REF!,#REF!,#REF!,#REF!,#REF!,SPD!AR267,#REF!,#REF!,#REF!)</f>
        <v>0</v>
      </c>
      <c r="AS267" s="476">
        <f>CHOOSE($B$3,#REF!,#REF!,#REF!,#REF!,#REF!,#REF!,#REF!,#REF!,#REF!,#REF!,SPD!AS267,#REF!,#REF!,#REF!)</f>
        <v>0</v>
      </c>
      <c r="AT267" s="476">
        <f>CHOOSE($B$3,#REF!,#REF!,#REF!,#REF!,#REF!,#REF!,#REF!,#REF!,#REF!,#REF!,SPD!AT267,#REF!,#REF!,#REF!)</f>
        <v>0</v>
      </c>
      <c r="AU267" s="476">
        <f>CHOOSE($B$3,#REF!,#REF!,#REF!,#REF!,#REF!,#REF!,#REF!,#REF!,#REF!,#REF!,SPD!AU267,#REF!,#REF!,#REF!)</f>
        <v>0</v>
      </c>
      <c r="AV267" s="476">
        <f>CHOOSE($B$3,#REF!,#REF!,#REF!,#REF!,#REF!,#REF!,#REF!,#REF!,#REF!,#REF!,SPD!AV267,#REF!,#REF!,#REF!)</f>
        <v>0</v>
      </c>
      <c r="AW267" s="184"/>
    </row>
    <row r="268" spans="1:49" ht="16">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CHOOSE($B$3,#REF!,#REF!,#REF!,#REF!,#REF!,#REF!,#REF!,#REF!,#REF!,#REF!,SPD!AR268,#REF!,#REF!,#REF!)</f>
        <v>0</v>
      </c>
      <c r="AS268" s="476">
        <f>CHOOSE($B$3,#REF!,#REF!,#REF!,#REF!,#REF!,#REF!,#REF!,#REF!,#REF!,#REF!,SPD!AS268,#REF!,#REF!,#REF!)</f>
        <v>0</v>
      </c>
      <c r="AT268" s="476">
        <f>CHOOSE($B$3,#REF!,#REF!,#REF!,#REF!,#REF!,#REF!,#REF!,#REF!,#REF!,#REF!,SPD!AT268,#REF!,#REF!,#REF!)</f>
        <v>0</v>
      </c>
      <c r="AU268" s="476">
        <f>CHOOSE($B$3,#REF!,#REF!,#REF!,#REF!,#REF!,#REF!,#REF!,#REF!,#REF!,#REF!,SPD!AU268,#REF!,#REF!,#REF!)</f>
        <v>0</v>
      </c>
      <c r="AV268" s="476">
        <f>CHOOSE($B$3,#REF!,#REF!,#REF!,#REF!,#REF!,#REF!,#REF!,#REF!,#REF!,#REF!,SPD!AV268,#REF!,#REF!,#REF!)</f>
        <v>0</v>
      </c>
      <c r="AW268" s="184"/>
    </row>
    <row r="269" spans="1:49" ht="16">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CHOOSE($B$3,#REF!,#REF!,#REF!,#REF!,#REF!,#REF!,#REF!,#REF!,#REF!,#REF!,SPD!AQ269,#REF!,#REF!,#REF!)</f>
        <v>0</v>
      </c>
      <c r="AR269" s="476">
        <f>CHOOSE($B$3,#REF!,#REF!,#REF!,#REF!,#REF!,#REF!,#REF!,#REF!,#REF!,#REF!,SPD!AR269,#REF!,#REF!,#REF!)</f>
        <v>0</v>
      </c>
      <c r="AS269" s="476">
        <f>CHOOSE($B$3,#REF!,#REF!,#REF!,#REF!,#REF!,#REF!,#REF!,#REF!,#REF!,#REF!,SPD!AS269,#REF!,#REF!,#REF!)</f>
        <v>0</v>
      </c>
      <c r="AT269" s="476">
        <f>CHOOSE($B$3,#REF!,#REF!,#REF!,#REF!,#REF!,#REF!,#REF!,#REF!,#REF!,#REF!,SPD!AT269,#REF!,#REF!,#REF!)</f>
        <v>0</v>
      </c>
      <c r="AU269" s="476">
        <f>CHOOSE($B$3,#REF!,#REF!,#REF!,#REF!,#REF!,#REF!,#REF!,#REF!,#REF!,#REF!,SPD!AU269,#REF!,#REF!,#REF!)</f>
        <v>0</v>
      </c>
      <c r="AV269" s="476">
        <f>CHOOSE($B$3,#REF!,#REF!,#REF!,#REF!,#REF!,#REF!,#REF!,#REF!,#REF!,#REF!,SPD!AV269,#REF!,#REF!,#REF!)</f>
        <v>0</v>
      </c>
      <c r="AW269" s="184"/>
    </row>
    <row r="270" spans="1:49" ht="16">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CHOOSE($B$3,#REF!,#REF!,#REF!,#REF!,#REF!,#REF!,#REF!,#REF!,#REF!,#REF!,SPD!AQ270,#REF!,#REF!,#REF!)</f>
        <v>0</v>
      </c>
      <c r="AR270" s="476">
        <f>CHOOSE($B$3,#REF!,#REF!,#REF!,#REF!,#REF!,#REF!,#REF!,#REF!,#REF!,#REF!,SPD!AR270,#REF!,#REF!,#REF!)</f>
        <v>0</v>
      </c>
      <c r="AS270" s="476">
        <f>CHOOSE($B$3,#REF!,#REF!,#REF!,#REF!,#REF!,#REF!,#REF!,#REF!,#REF!,#REF!,SPD!AS270,#REF!,#REF!,#REF!)</f>
        <v>0</v>
      </c>
      <c r="AT270" s="476">
        <f>CHOOSE($B$3,#REF!,#REF!,#REF!,#REF!,#REF!,#REF!,#REF!,#REF!,#REF!,#REF!,SPD!AT270,#REF!,#REF!,#REF!)</f>
        <v>0</v>
      </c>
      <c r="AU270" s="476">
        <f>CHOOSE($B$3,#REF!,#REF!,#REF!,#REF!,#REF!,#REF!,#REF!,#REF!,#REF!,#REF!,SPD!AU270,#REF!,#REF!,#REF!)</f>
        <v>0</v>
      </c>
      <c r="AV270" s="476">
        <f>CHOOSE($B$3,#REF!,#REF!,#REF!,#REF!,#REF!,#REF!,#REF!,#REF!,#REF!,#REF!,SPD!AV270,#REF!,#REF!,#REF!)</f>
        <v>0</v>
      </c>
      <c r="AW270" s="184"/>
    </row>
    <row r="271" spans="1:49" ht="16">
      <c r="A271" s="82"/>
      <c r="B271" s="82"/>
      <c r="C271" s="82"/>
      <c r="D271" s="82"/>
      <c r="E271" s="82" t="s">
        <v>314</v>
      </c>
      <c r="F271" s="2"/>
      <c r="G271" s="82" t="s">
        <v>206</v>
      </c>
      <c r="H271" s="82"/>
      <c r="I271" s="409">
        <f>CHOOSE($B$3,#REF!,#REF!,#REF!,#REF!,#REF!,#REF!,#REF!,#REF!,#REF!,#REF!,SPD!I271,#REF!,#REF!,#REF!)</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
      <c r="A272" s="82"/>
      <c r="B272" s="82"/>
      <c r="C272" s="82"/>
      <c r="D272" s="82"/>
      <c r="E272" s="82" t="s">
        <v>315</v>
      </c>
      <c r="F272" s="2"/>
      <c r="G272" s="82" t="s">
        <v>206</v>
      </c>
      <c r="H272" s="82"/>
      <c r="I272" s="409">
        <f>CHOOSE($B$3,#REF!,#REF!,#REF!,#REF!,#REF!,#REF!,#REF!,#REF!,#REF!,#REF!,SPD!I272,#REF!,#REF!,#REF!)</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
      <c r="A273" s="82"/>
      <c r="B273" s="82"/>
      <c r="C273" s="82"/>
      <c r="D273" s="82"/>
      <c r="E273" s="82" t="s">
        <v>316</v>
      </c>
      <c r="F273" s="82"/>
      <c r="G273" s="82" t="s">
        <v>206</v>
      </c>
      <c r="H273" s="82"/>
      <c r="I273" s="409">
        <f>CHOOSE($B$3,#REF!,#REF!,#REF!,#REF!,#REF!,#REF!,#REF!,#REF!,#REF!,#REF!,SPD!I273,#REF!,#REF!,#REF!)</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CHOOSE($B$3,#REF!,#REF!,#REF!,#REF!,#REF!,#REF!,#REF!,#REF!,#REF!,#REF!,SPD!AR277,#REF!,#REF!,#REF!)</f>
        <v>-27.131662349681562</v>
      </c>
      <c r="AS277" s="476">
        <f>CHOOSE($B$3,#REF!,#REF!,#REF!,#REF!,#REF!,#REF!,#REF!,#REF!,#REF!,#REF!,SPD!AS277,#REF!,#REF!,#REF!)</f>
        <v>-33.315165602573281</v>
      </c>
      <c r="AT277" s="476">
        <f>CHOOSE($B$3,#REF!,#REF!,#REF!,#REF!,#REF!,#REF!,#REF!,#REF!,#REF!,#REF!,SPD!AT277,#REF!,#REF!,#REF!)</f>
        <v>-16.99993326748773</v>
      </c>
      <c r="AU277" s="476">
        <f>CHOOSE($B$3,#REF!,#REF!,#REF!,#REF!,#REF!,#REF!,#REF!,#REF!,#REF!,#REF!,SPD!AU277,#REF!,#REF!,#REF!)</f>
        <v>-20.624038504408205</v>
      </c>
      <c r="AV277" s="476">
        <f>CHOOSE($B$3,#REF!,#REF!,#REF!,#REF!,#REF!,#REF!,#REF!,#REF!,#REF!,#REF!,SPD!AV277,#REF!,#REF!,#REF!)</f>
        <v>-21.834666565269888</v>
      </c>
      <c r="AW277" s="184"/>
    </row>
    <row r="278" spans="1:49" ht="16">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CHOOSE($B$3,#REF!,#REF!,#REF!,#REF!,#REF!,#REF!,#REF!,#REF!,#REF!,#REF!,SPD!AR278,#REF!,#REF!,#REF!)</f>
        <v>1527.07431544</v>
      </c>
      <c r="AS278" s="476">
        <f>CHOOSE($B$3,#REF!,#REF!,#REF!,#REF!,#REF!,#REF!,#REF!,#REF!,#REF!,#REF!,SPD!AS278,#REF!,#REF!,#REF!)</f>
        <v>1592</v>
      </c>
      <c r="AT278" s="476">
        <f>CHOOSE($B$3,#REF!,#REF!,#REF!,#REF!,#REF!,#REF!,#REF!,#REF!,#REF!,#REF!,SPD!AT278,#REF!,#REF!,#REF!)</f>
        <v>1799.5685129055507</v>
      </c>
      <c r="AU278" s="476">
        <f>CHOOSE($B$3,#REF!,#REF!,#REF!,#REF!,#REF!,#REF!,#REF!,#REF!,#REF!,#REF!,SPD!AU278,#REF!,#REF!,#REF!)</f>
        <v>1973.1011818188254</v>
      </c>
      <c r="AV278" s="476">
        <f>CHOOSE($B$3,#REF!,#REF!,#REF!,#REF!,#REF!,#REF!,#REF!,#REF!,#REF!,#REF!,SPD!AV278,#REF!,#REF!,#REF!)</f>
        <v>2108.4226689379789</v>
      </c>
      <c r="AW278" s="184"/>
    </row>
    <row r="279" spans="1:49" ht="16">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CHOOSE($B$3,#REF!,#REF!,#REF!,#REF!,#REF!,#REF!,#REF!,#REF!,#REF!,#REF!,SPD!AR279,#REF!,#REF!,#REF!)</f>
        <v>77.828915998955878</v>
      </c>
      <c r="AS279" s="476">
        <f>CHOOSE($B$3,#REF!,#REF!,#REF!,#REF!,#REF!,#REF!,#REF!,#REF!,#REF!,#REF!,SPD!AS279,#REF!,#REF!,#REF!)</f>
        <v>78.676934930000016</v>
      </c>
      <c r="AT279" s="476">
        <f>CHOOSE($B$3,#REF!,#REF!,#REF!,#REF!,#REF!,#REF!,#REF!,#REF!,#REF!,#REF!,SPD!AT279,#REF!,#REF!,#REF!)</f>
        <v>89.745244534881294</v>
      </c>
      <c r="AU279" s="476">
        <f>CHOOSE($B$3,#REF!,#REF!,#REF!,#REF!,#REF!,#REF!,#REF!,#REF!,#REF!,#REF!,SPD!AU279,#REF!,#REF!,#REF!)</f>
        <v>96.338285149734133</v>
      </c>
      <c r="AV279" s="476">
        <f>CHOOSE($B$3,#REF!,#REF!,#REF!,#REF!,#REF!,#REF!,#REF!,#REF!,#REF!,#REF!,SPD!AV279,#REF!,#REF!,#REF!)</f>
        <v>98.218415946533938</v>
      </c>
      <c r="AW279" s="184"/>
    </row>
    <row r="280" spans="1:49" ht="16">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CHOOSE($B$3,#REF!,#REF!,#REF!,#REF!,#REF!,#REF!,#REF!,#REF!,#REF!,#REF!,SPD!AR280,#REF!,#REF!,#REF!)</f>
        <v>0</v>
      </c>
      <c r="AS280" s="476">
        <f>CHOOSE($B$3,#REF!,#REF!,#REF!,#REF!,#REF!,#REF!,#REF!,#REF!,#REF!,#REF!,SPD!AS280,#REF!,#REF!,#REF!)</f>
        <v>0</v>
      </c>
      <c r="AT280" s="476">
        <f>CHOOSE($B$3,#REF!,#REF!,#REF!,#REF!,#REF!,#REF!,#REF!,#REF!,#REF!,#REF!,SPD!AT280,#REF!,#REF!,#REF!)</f>
        <v>0</v>
      </c>
      <c r="AU280" s="476">
        <f>CHOOSE($B$3,#REF!,#REF!,#REF!,#REF!,#REF!,#REF!,#REF!,#REF!,#REF!,#REF!,SPD!AU280,#REF!,#REF!,#REF!)</f>
        <v>0</v>
      </c>
      <c r="AV280" s="476">
        <f>CHOOSE($B$3,#REF!,#REF!,#REF!,#REF!,#REF!,#REF!,#REF!,#REF!,#REF!,#REF!,SPD!AV280,#REF!,#REF!,#REF!)</f>
        <v>0</v>
      </c>
      <c r="AW280" s="184"/>
    </row>
    <row r="281" spans="1:49" ht="16">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CHOOSE($B$3,#REF!,#REF!,#REF!,#REF!,#REF!,#REF!,#REF!,#REF!,#REF!,#REF!,SPD!AR282,#REF!,#REF!,#REF!)</f>
        <v>0</v>
      </c>
      <c r="AS282" s="476">
        <f>CHOOSE($B$3,#REF!,#REF!,#REF!,#REF!,#REF!,#REF!,#REF!,#REF!,#REF!,#REF!,SPD!AS282,#REF!,#REF!,#REF!)</f>
        <v>-21.905705883838785</v>
      </c>
      <c r="AT282" s="476">
        <f>CHOOSE($B$3,#REF!,#REF!,#REF!,#REF!,#REF!,#REF!,#REF!,#REF!,#REF!,#REF!,SPD!AT282,#REF!,#REF!,#REF!)</f>
        <v>-34.798509602770793</v>
      </c>
      <c r="AU282" s="476">
        <f>CHOOSE($B$3,#REF!,#REF!,#REF!,#REF!,#REF!,#REF!,#REF!,#REF!,#REF!,#REF!,SPD!AU282,#REF!,#REF!,#REF!)</f>
        <v>-40.169840762873172</v>
      </c>
      <c r="AV282" s="476">
        <f>CHOOSE($B$3,#REF!,#REF!,#REF!,#REF!,#REF!,#REF!,#REF!,#REF!,#REF!,#REF!,SPD!AV282,#REF!,#REF!,#REF!)</f>
        <v>-64.724156930676628</v>
      </c>
      <c r="AW282" s="184"/>
    </row>
    <row r="283" spans="1:49" ht="16">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CHOOSE($B$3,#REF!,#REF!,#REF!,#REF!,#REF!,#REF!,#REF!,#REF!,#REF!,#REF!,SPD!AR283,#REF!,#REF!,#REF!)</f>
        <v>0</v>
      </c>
      <c r="AS283" s="476">
        <f>CHOOSE($B$3,#REF!,#REF!,#REF!,#REF!,#REF!,#REF!,#REF!,#REF!,#REF!,#REF!,SPD!AS283,#REF!,#REF!,#REF!)</f>
        <v>-82.330559790308968</v>
      </c>
      <c r="AT283" s="476">
        <f>CHOOSE($B$3,#REF!,#REF!,#REF!,#REF!,#REF!,#REF!,#REF!,#REF!,#REF!,#REF!,SPD!AT283,#REF!,#REF!,#REF!)</f>
        <v>-114.54697451588544</v>
      </c>
      <c r="AU283" s="476">
        <f>CHOOSE($B$3,#REF!,#REF!,#REF!,#REF!,#REF!,#REF!,#REF!,#REF!,#REF!,#REF!,SPD!AU283,#REF!,#REF!,#REF!)</f>
        <v>-135.96029861896525</v>
      </c>
      <c r="AV283" s="476">
        <f>CHOOSE($B$3,#REF!,#REF!,#REF!,#REF!,#REF!,#REF!,#REF!,#REF!,#REF!,#REF!,SPD!AV283,#REF!,#REF!,#REF!)</f>
        <v>-135.2590424259117</v>
      </c>
      <c r="AW283" s="184"/>
    </row>
    <row r="284" spans="1:49" ht="16">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CHOOSE($B$3,#REF!,#REF!,#REF!,#REF!,#REF!,#REF!,#REF!,#REF!,#REF!,#REF!,SPD!AR285,#REF!,#REF!,#REF!)</f>
        <v>0.25</v>
      </c>
      <c r="AS285" s="420">
        <f>CHOOSE($B$3,#REF!,#REF!,#REF!,#REF!,#REF!,#REF!,#REF!,#REF!,#REF!,#REF!,SPD!AS285,#REF!,#REF!,#REF!)</f>
        <v>0.25</v>
      </c>
      <c r="AT285" s="420">
        <f>CHOOSE($B$3,#REF!,#REF!,#REF!,#REF!,#REF!,#REF!,#REF!,#REF!,#REF!,#REF!,SPD!AT285,#REF!,#REF!,#REF!)</f>
        <v>0.25</v>
      </c>
      <c r="AU285" s="420">
        <f>CHOOSE($B$3,#REF!,#REF!,#REF!,#REF!,#REF!,#REF!,#REF!,#REF!,#REF!,#REF!,SPD!AU285,#REF!,#REF!,#REF!)</f>
        <v>0.25</v>
      </c>
      <c r="AV285" s="420">
        <f>CHOOSE($B$3,#REF!,#REF!,#REF!,#REF!,#REF!,#REF!,#REF!,#REF!,#REF!,#REF!,SPD!AV285,#REF!,#REF!,#REF!)</f>
        <v>0.25</v>
      </c>
      <c r="AW285" s="184"/>
    </row>
    <row r="286" spans="1:49" ht="16">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CHOOSE($B$3,#REF!,#REF!,#REF!,#REF!,#REF!,#REF!,#REF!,#REF!,#REF!,#REF!,SPD!AR286,#REF!,#REF!,#REF!)</f>
        <v>0.18</v>
      </c>
      <c r="AS286" s="420">
        <f>CHOOSE($B$3,#REF!,#REF!,#REF!,#REF!,#REF!,#REF!,#REF!,#REF!,#REF!,#REF!,SPD!AS286,#REF!,#REF!,#REF!)</f>
        <v>0.18</v>
      </c>
      <c r="AT286" s="420">
        <f>CHOOSE($B$3,#REF!,#REF!,#REF!,#REF!,#REF!,#REF!,#REF!,#REF!,#REF!,#REF!,SPD!AT286,#REF!,#REF!,#REF!)</f>
        <v>0.18</v>
      </c>
      <c r="AU286" s="420">
        <f>CHOOSE($B$3,#REF!,#REF!,#REF!,#REF!,#REF!,#REF!,#REF!,#REF!,#REF!,#REF!,SPD!AU286,#REF!,#REF!,#REF!)</f>
        <v>0.14000000000000001</v>
      </c>
      <c r="AV286" s="420">
        <f>CHOOSE($B$3,#REF!,#REF!,#REF!,#REF!,#REF!,#REF!,#REF!,#REF!,#REF!,#REF!,SPD!AV286,#REF!,#REF!,#REF!)</f>
        <v>0.14000000000000001</v>
      </c>
      <c r="AW286" s="184"/>
    </row>
    <row r="287" spans="1:49" ht="16">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CHOOSE($B$3,#REF!,#REF!,#REF!,#REF!,#REF!,#REF!,#REF!,#REF!,#REF!,#REF!,SPD!AR287,#REF!,#REF!,#REF!)</f>
        <v>0.06</v>
      </c>
      <c r="AS287" s="420">
        <f>CHOOSE($B$3,#REF!,#REF!,#REF!,#REF!,#REF!,#REF!,#REF!,#REF!,#REF!,#REF!,SPD!AS287,#REF!,#REF!,#REF!)</f>
        <v>0.06</v>
      </c>
      <c r="AT287" s="420">
        <f>CHOOSE($B$3,#REF!,#REF!,#REF!,#REF!,#REF!,#REF!,#REF!,#REF!,#REF!,#REF!,SPD!AT287,#REF!,#REF!,#REF!)</f>
        <v>0.06</v>
      </c>
      <c r="AU287" s="420">
        <f>CHOOSE($B$3,#REF!,#REF!,#REF!,#REF!,#REF!,#REF!,#REF!,#REF!,#REF!,#REF!,SPD!AU287,#REF!,#REF!,#REF!)</f>
        <v>0.06</v>
      </c>
      <c r="AV287" s="420">
        <f>CHOOSE($B$3,#REF!,#REF!,#REF!,#REF!,#REF!,#REF!,#REF!,#REF!,#REF!,#REF!,SPD!AV287,#REF!,#REF!,#REF!)</f>
        <v>0.06</v>
      </c>
      <c r="AW287" s="184"/>
    </row>
    <row r="288" spans="1:49" ht="16">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CHOOSE($B$3,#REF!,#REF!,#REF!,#REF!,#REF!,#REF!,#REF!,#REF!,#REF!,#REF!,SPD!AR288,#REF!,#REF!,#REF!)</f>
        <v>0.03</v>
      </c>
      <c r="AS288" s="420">
        <f>CHOOSE($B$3,#REF!,#REF!,#REF!,#REF!,#REF!,#REF!,#REF!,#REF!,#REF!,#REF!,SPD!AS288,#REF!,#REF!,#REF!)</f>
        <v>0.03</v>
      </c>
      <c r="AT288" s="420">
        <f>CHOOSE($B$3,#REF!,#REF!,#REF!,#REF!,#REF!,#REF!,#REF!,#REF!,#REF!,#REF!,SPD!AT288,#REF!,#REF!,#REF!)</f>
        <v>0.03</v>
      </c>
      <c r="AU288" s="420">
        <f>CHOOSE($B$3,#REF!,#REF!,#REF!,#REF!,#REF!,#REF!,#REF!,#REF!,#REF!,#REF!,SPD!AU288,#REF!,#REF!,#REF!)</f>
        <v>0.03</v>
      </c>
      <c r="AV288" s="420">
        <f>CHOOSE($B$3,#REF!,#REF!,#REF!,#REF!,#REF!,#REF!,#REF!,#REF!,#REF!,#REF!,SPD!AV288,#REF!,#REF!,#REF!)</f>
        <v>0.03</v>
      </c>
      <c r="AW288" s="184"/>
    </row>
    <row r="289" spans="1:49" ht="16">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CHOOSE($B$3,#REF!,#REF!,#REF!,#REF!,#REF!,#REF!,#REF!,#REF!,#REF!,#REF!,SPD!AR289,#REF!,#REF!,#REF!)</f>
        <v>2.2200000000000001E-2</v>
      </c>
      <c r="AS289" s="420">
        <f>CHOOSE($B$3,#REF!,#REF!,#REF!,#REF!,#REF!,#REF!,#REF!,#REF!,#REF!,#REF!,SPD!AS289,#REF!,#REF!,#REF!)</f>
        <v>2.2200000000000001E-2</v>
      </c>
      <c r="AT289" s="420">
        <f>CHOOSE($B$3,#REF!,#REF!,#REF!,#REF!,#REF!,#REF!,#REF!,#REF!,#REF!,#REF!,SPD!AT289,#REF!,#REF!,#REF!)</f>
        <v>2.2200000000000001E-2</v>
      </c>
      <c r="AU289" s="420">
        <f>CHOOSE($B$3,#REF!,#REF!,#REF!,#REF!,#REF!,#REF!,#REF!,#REF!,#REF!,#REF!,SPD!AU289,#REF!,#REF!,#REF!)</f>
        <v>2.2200000000000001E-2</v>
      </c>
      <c r="AV289" s="420">
        <f>CHOOSE($B$3,#REF!,#REF!,#REF!,#REF!,#REF!,#REF!,#REF!,#REF!,#REF!,#REF!,SPD!AV289,#REF!,#REF!,#REF!)</f>
        <v>2.2200000000000001E-2</v>
      </c>
      <c r="AW289" s="184"/>
    </row>
    <row r="290" spans="1:49" ht="16">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7">
        <f>CHOOSE($B$3,#REF!,#REF!,#REF!,#REF!,#REF!,#REF!,#REF!,#REF!,#REF!,#REF!,SPD!AR291,#REF!,#REF!,#REF!)</f>
        <v>1.5418188657920666</v>
      </c>
      <c r="AS291" s="527">
        <f>CHOOSE($B$3,#REF!,#REF!,#REF!,#REF!,#REF!,#REF!,#REF!,#REF!,#REF!,#REF!,SPD!AS291,#REF!,#REF!,#REF!)</f>
        <v>1.5421689490890813</v>
      </c>
      <c r="AT291" s="527">
        <f>CHOOSE($B$3,#REF!,#REF!,#REF!,#REF!,#REF!,#REF!,#REF!,#REF!,#REF!,#REF!,SPD!AT291,#REF!,#REF!,#REF!)</f>
        <v>1.1986919632990878</v>
      </c>
      <c r="AU291" s="527">
        <f>CHOOSE($B$3,#REF!,#REF!,#REF!,#REF!,#REF!,#REF!,#REF!,#REF!,#REF!,#REF!,SPD!AU291,#REF!,#REF!,#REF!)</f>
        <v>1.2051150219812068</v>
      </c>
      <c r="AV291" s="527">
        <f>CHOOSE($B$3,#REF!,#REF!,#REF!,#REF!,#REF!,#REF!,#REF!,#REF!,#REF!,#REF!,SPD!AV291,#REF!,#REF!,#REF!)</f>
        <v>1.2030871425295599</v>
      </c>
      <c r="AW291" s="184"/>
    </row>
    <row r="292" spans="1:49" ht="16">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CHOOSE($B$3,#REF!,#REF!,#REF!,#REF!,#REF!,#REF!,#REF!,#REF!,#REF!,#REF!,SPD!AR292,#REF!,#REF!,#REF!)</f>
        <v>0.65</v>
      </c>
      <c r="AS292" s="410">
        <f>CHOOSE($B$3,#REF!,#REF!,#REF!,#REF!,#REF!,#REF!,#REF!,#REF!,#REF!,#REF!,SPD!AS292,#REF!,#REF!,#REF!)</f>
        <v>0.64</v>
      </c>
      <c r="AT292" s="410">
        <f>CHOOSE($B$3,#REF!,#REF!,#REF!,#REF!,#REF!,#REF!,#REF!,#REF!,#REF!,#REF!,SPD!AT292,#REF!,#REF!,#REF!)</f>
        <v>0.63</v>
      </c>
      <c r="AU292" s="410">
        <f>CHOOSE($B$3,#REF!,#REF!,#REF!,#REF!,#REF!,#REF!,#REF!,#REF!,#REF!,#REF!,SPD!AU292,#REF!,#REF!,#REF!)</f>
        <v>0.61</v>
      </c>
      <c r="AV292" s="410">
        <f>CHOOSE($B$3,#REF!,#REF!,#REF!,#REF!,#REF!,#REF!,#REF!,#REF!,#REF!,#REF!,SPD!AV292,#REF!,#REF!,#REF!)</f>
        <v>0.6</v>
      </c>
      <c r="AW292" s="184"/>
    </row>
    <row r="293" spans="1:49" ht="16">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7">
        <f>CHOOSE($B$3,#REF!,#REF!,#REF!,#REF!,#REF!,#REF!,#REF!,#REF!,#REF!,#REF!,SPD!AR295,#REF!,#REF!,#REF!)</f>
        <v>0</v>
      </c>
      <c r="AS295" s="507">
        <f>CHOOSE($B$3,#REF!,#REF!,#REF!,#REF!,#REF!,#REF!,#REF!,#REF!,#REF!,#REF!,SPD!AS295,#REF!,#REF!,#REF!)</f>
        <v>0</v>
      </c>
      <c r="AT295" s="507">
        <f>CHOOSE($B$3,#REF!,#REF!,#REF!,#REF!,#REF!,#REF!,#REF!,#REF!,#REF!,#REF!,SPD!AT295,#REF!,#REF!,#REF!)</f>
        <v>0</v>
      </c>
      <c r="AU295" s="507">
        <f>CHOOSE($B$3,#REF!,#REF!,#REF!,#REF!,#REF!,#REF!,#REF!,#REF!,#REF!,#REF!,SPD!AU295,#REF!,#REF!,#REF!)</f>
        <v>0</v>
      </c>
      <c r="AV295" s="507">
        <f>CHOOSE($B$3,#REF!,#REF!,#REF!,#REF!,#REF!,#REF!,#REF!,#REF!,#REF!,#REF!,SPD!AV295,#REF!,#REF!,#REF!)</f>
        <v>0</v>
      </c>
      <c r="AW295" s="184"/>
    </row>
    <row r="296" spans="1:49" ht="16">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7">
        <f>CHOOSE($B$3,#REF!,#REF!,#REF!,#REF!,#REF!,#REF!,#REF!,#REF!,#REF!,#REF!,SPD!AR296,#REF!,#REF!,#REF!)</f>
        <v>0</v>
      </c>
      <c r="AS296" s="507">
        <f>CHOOSE($B$3,#REF!,#REF!,#REF!,#REF!,#REF!,#REF!,#REF!,#REF!,#REF!,#REF!,SPD!AS296,#REF!,#REF!,#REF!)</f>
        <v>0</v>
      </c>
      <c r="AT296" s="507">
        <f>CHOOSE($B$3,#REF!,#REF!,#REF!,#REF!,#REF!,#REF!,#REF!,#REF!,#REF!,#REF!,SPD!AT296,#REF!,#REF!,#REF!)</f>
        <v>0</v>
      </c>
      <c r="AU296" s="507">
        <f>CHOOSE($B$3,#REF!,#REF!,#REF!,#REF!,#REF!,#REF!,#REF!,#REF!,#REF!,#REF!,SPD!AU296,#REF!,#REF!,#REF!)</f>
        <v>0</v>
      </c>
      <c r="AV296" s="507">
        <f>CHOOSE($B$3,#REF!,#REF!,#REF!,#REF!,#REF!,#REF!,#REF!,#REF!,#REF!,#REF!,SPD!AV296,#REF!,#REF!,#REF!)</f>
        <v>0</v>
      </c>
      <c r="AW296" s="184"/>
    </row>
    <row r="297" spans="1:49" ht="16">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7">
        <f>CHOOSE($B$3,#REF!,#REF!,#REF!,#REF!,#REF!,#REF!,#REF!,#REF!,#REF!,#REF!,SPD!AR297,#REF!,#REF!,#REF!)</f>
        <v>0.62907864793467771</v>
      </c>
      <c r="AS297" s="507">
        <f>CHOOSE($B$3,#REF!,#REF!,#REF!,#REF!,#REF!,#REF!,#REF!,#REF!,#REF!,#REF!,SPD!AS297,#REF!,#REF!,#REF!)</f>
        <v>0.71454953036872815</v>
      </c>
      <c r="AT297" s="507">
        <f>CHOOSE($B$3,#REF!,#REF!,#REF!,#REF!,#REF!,#REF!,#REF!,#REF!,#REF!,#REF!,SPD!AT297,#REF!,#REF!,#REF!)</f>
        <v>0.64904694462622181</v>
      </c>
      <c r="AU297" s="507">
        <f>CHOOSE($B$3,#REF!,#REF!,#REF!,#REF!,#REF!,#REF!,#REF!,#REF!,#REF!,#REF!,SPD!AU297,#REF!,#REF!,#REF!)</f>
        <v>0.79213229256808115</v>
      </c>
      <c r="AV297" s="507">
        <f>CHOOSE($B$3,#REF!,#REF!,#REF!,#REF!,#REF!,#REF!,#REF!,#REF!,#REF!,#REF!,SPD!AV297,#REF!,#REF!,#REF!)</f>
        <v>0.77045408151553363</v>
      </c>
      <c r="AW297" s="184"/>
    </row>
    <row r="298" spans="1:49" ht="16">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7">
        <f>CHOOSE($B$3,#REF!,#REF!,#REF!,#REF!,#REF!,#REF!,#REF!,#REF!,#REF!,#REF!,SPD!AR298,#REF!,#REF!,#REF!)</f>
        <v>0</v>
      </c>
      <c r="AS298" s="507">
        <f>CHOOSE($B$3,#REF!,#REF!,#REF!,#REF!,#REF!,#REF!,#REF!,#REF!,#REF!,#REF!,SPD!AS298,#REF!,#REF!,#REF!)</f>
        <v>0</v>
      </c>
      <c r="AT298" s="507">
        <f>CHOOSE($B$3,#REF!,#REF!,#REF!,#REF!,#REF!,#REF!,#REF!,#REF!,#REF!,#REF!,SPD!AT298,#REF!,#REF!,#REF!)</f>
        <v>0</v>
      </c>
      <c r="AU298" s="507">
        <f>CHOOSE($B$3,#REF!,#REF!,#REF!,#REF!,#REF!,#REF!,#REF!,#REF!,#REF!,#REF!,SPD!AU298,#REF!,#REF!,#REF!)</f>
        <v>0</v>
      </c>
      <c r="AV298" s="507">
        <f>CHOOSE($B$3,#REF!,#REF!,#REF!,#REF!,#REF!,#REF!,#REF!,#REF!,#REF!,#REF!,SPD!AV298,#REF!,#REF!,#REF!)</f>
        <v>0</v>
      </c>
      <c r="AW298" s="184"/>
    </row>
    <row r="299" spans="1:49" ht="16">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7">
        <f>CHOOSE($B$3,#REF!,#REF!,#REF!,#REF!,#REF!,#REF!,#REF!,#REF!,#REF!,#REF!,SPD!AR299,#REF!,#REF!,#REF!)</f>
        <v>0</v>
      </c>
      <c r="AS299" s="507">
        <f>CHOOSE($B$3,#REF!,#REF!,#REF!,#REF!,#REF!,#REF!,#REF!,#REF!,#REF!,#REF!,SPD!AS299,#REF!,#REF!,#REF!)</f>
        <v>0</v>
      </c>
      <c r="AT299" s="507">
        <f>CHOOSE($B$3,#REF!,#REF!,#REF!,#REF!,#REF!,#REF!,#REF!,#REF!,#REF!,#REF!,SPD!AT299,#REF!,#REF!,#REF!)</f>
        <v>0</v>
      </c>
      <c r="AU299" s="507">
        <f>CHOOSE($B$3,#REF!,#REF!,#REF!,#REF!,#REF!,#REF!,#REF!,#REF!,#REF!,#REF!,SPD!AU299,#REF!,#REF!,#REF!)</f>
        <v>0</v>
      </c>
      <c r="AV299" s="507">
        <f>CHOOSE($B$3,#REF!,#REF!,#REF!,#REF!,#REF!,#REF!,#REF!,#REF!,#REF!,#REF!,SPD!AV299,#REF!,#REF!,#REF!)</f>
        <v>0</v>
      </c>
      <c r="AW299" s="184"/>
    </row>
    <row r="300" spans="1:49" ht="16">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7">
        <f>CHOOSE($B$3,#REF!,#REF!,#REF!,#REF!,#REF!,#REF!,#REF!,#REF!,#REF!,#REF!,SPD!AR300,#REF!,#REF!,#REF!)</f>
        <v>0</v>
      </c>
      <c r="AS300" s="507">
        <f>CHOOSE($B$3,#REF!,#REF!,#REF!,#REF!,#REF!,#REF!,#REF!,#REF!,#REF!,#REF!,SPD!AS300,#REF!,#REF!,#REF!)</f>
        <v>0</v>
      </c>
      <c r="AT300" s="507">
        <f>CHOOSE($B$3,#REF!,#REF!,#REF!,#REF!,#REF!,#REF!,#REF!,#REF!,#REF!,#REF!,SPD!AT300,#REF!,#REF!,#REF!)</f>
        <v>0</v>
      </c>
      <c r="AU300" s="507">
        <f>CHOOSE($B$3,#REF!,#REF!,#REF!,#REF!,#REF!,#REF!,#REF!,#REF!,#REF!,#REF!,SPD!AU300,#REF!,#REF!,#REF!)</f>
        <v>0</v>
      </c>
      <c r="AV300" s="507">
        <f>CHOOSE($B$3,#REF!,#REF!,#REF!,#REF!,#REF!,#REF!,#REF!,#REF!,#REF!,#REF!,SPD!AV300,#REF!,#REF!,#REF!)</f>
        <v>0</v>
      </c>
      <c r="AW300" s="184"/>
    </row>
    <row r="301" spans="1:49" ht="16">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7">
        <f>CHOOSE($B$3,#REF!,#REF!,#REF!,#REF!,#REF!,#REF!,#REF!,#REF!,#REF!,#REF!,SPD!AR301,#REF!,#REF!,#REF!)</f>
        <v>5.2071718511002826E-2</v>
      </c>
      <c r="AS301" s="507">
        <f>CHOOSE($B$3,#REF!,#REF!,#REF!,#REF!,#REF!,#REF!,#REF!,#REF!,#REF!,#REF!,SPD!AS301,#REF!,#REF!,#REF!)</f>
        <v>5.7117777962667808E-2</v>
      </c>
      <c r="AT301" s="507">
        <f>CHOOSE($B$3,#REF!,#REF!,#REF!,#REF!,#REF!,#REF!,#REF!,#REF!,#REF!,#REF!,SPD!AT301,#REF!,#REF!,#REF!)</f>
        <v>6.9683796293850603E-2</v>
      </c>
      <c r="AU301" s="507">
        <f>CHOOSE($B$3,#REF!,#REF!,#REF!,#REF!,#REF!,#REF!,#REF!,#REF!,#REF!,#REF!,SPD!AU301,#REF!,#REF!,#REF!)</f>
        <v>3.1257080478088194E-2</v>
      </c>
      <c r="AV301" s="507">
        <f>CHOOSE($B$3,#REF!,#REF!,#REF!,#REF!,#REF!,#REF!,#REF!,#REF!,#REF!,#REF!,SPD!AV301,#REF!,#REF!,#REF!)</f>
        <v>2.7517960849722495E-2</v>
      </c>
      <c r="AW301" s="184"/>
    </row>
    <row r="302" spans="1:49" ht="16">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7">
        <f>CHOOSE($B$3,#REF!,#REF!,#REF!,#REF!,#REF!,#REF!,#REF!,#REF!,#REF!,#REF!,SPD!AR302,#REF!,#REF!,#REF!)</f>
        <v>0.98328849503876714</v>
      </c>
      <c r="AS302" s="507">
        <f>CHOOSE($B$3,#REF!,#REF!,#REF!,#REF!,#REF!,#REF!,#REF!,#REF!,#REF!,#REF!,SPD!AS302,#REF!,#REF!,#REF!)</f>
        <v>0.98323273338753914</v>
      </c>
      <c r="AT302" s="507">
        <f>CHOOSE($B$3,#REF!,#REF!,#REF!,#REF!,#REF!,#REF!,#REF!,#REF!,#REF!,#REF!,SPD!AT302,#REF!,#REF!,#REF!)</f>
        <v>0.98227424918134321</v>
      </c>
      <c r="AU302" s="507">
        <f>CHOOSE($B$3,#REF!,#REF!,#REF!,#REF!,#REF!,#REF!,#REF!,#REF!,#REF!,#REF!,SPD!AU302,#REF!,#REF!,#REF!)</f>
        <v>0.98299848128510636</v>
      </c>
      <c r="AV302" s="507">
        <f>CHOOSE($B$3,#REF!,#REF!,#REF!,#REF!,#REF!,#REF!,#REF!,#REF!,#REF!,#REF!,SPD!AV302,#REF!,#REF!,#REF!)</f>
        <v>0.98053697760929648</v>
      </c>
      <c r="AW302" s="184"/>
    </row>
    <row r="303" spans="1:49" ht="16">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7">
        <f>CHOOSE($B$3,#REF!,#REF!,#REF!,#REF!,#REF!,#REF!,#REF!,#REF!,#REF!,#REF!,SPD!AR303,#REF!,#REF!,#REF!)</f>
        <v>0.94193875909710245</v>
      </c>
      <c r="AS303" s="507">
        <f>CHOOSE($B$3,#REF!,#REF!,#REF!,#REF!,#REF!,#REF!,#REF!,#REF!,#REF!,#REF!,SPD!AS303,#REF!,#REF!,#REF!)</f>
        <v>0.96206709236529442</v>
      </c>
      <c r="AT303" s="507">
        <f>CHOOSE($B$3,#REF!,#REF!,#REF!,#REF!,#REF!,#REF!,#REF!,#REF!,#REF!,#REF!,SPD!AT303,#REF!,#REF!,#REF!)</f>
        <v>0.96985173066804986</v>
      </c>
      <c r="AU303" s="507">
        <f>CHOOSE($B$3,#REF!,#REF!,#REF!,#REF!,#REF!,#REF!,#REF!,#REF!,#REF!,#REF!,SPD!AU303,#REF!,#REF!,#REF!)</f>
        <v>0.96705417109356417</v>
      </c>
      <c r="AV303" s="507">
        <f>CHOOSE($B$3,#REF!,#REF!,#REF!,#REF!,#REF!,#REF!,#REF!,#REF!,#REF!,#REF!,SPD!AV303,#REF!,#REF!,#REF!)</f>
        <v>0.96218159726676122</v>
      </c>
      <c r="AW303" s="184"/>
    </row>
    <row r="304" spans="1:49" ht="16">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7">
        <f>CHOOSE($B$3,#REF!,#REF!,#REF!,#REF!,#REF!,#REF!,#REF!,#REF!,#REF!,#REF!,SPD!AR304,#REF!,#REF!,#REF!)</f>
        <v>3.3270252586965816E-2</v>
      </c>
      <c r="AS304" s="507">
        <f>CHOOSE($B$3,#REF!,#REF!,#REF!,#REF!,#REF!,#REF!,#REF!,#REF!,#REF!,#REF!,SPD!AS304,#REF!,#REF!,#REF!)</f>
        <v>1.697271037010108E-2</v>
      </c>
      <c r="AT304" s="507">
        <f>CHOOSE($B$3,#REF!,#REF!,#REF!,#REF!,#REF!,#REF!,#REF!,#REF!,#REF!,#REF!,SPD!AT304,#REF!,#REF!,#REF!)</f>
        <v>8.3239329840322826E-2</v>
      </c>
      <c r="AU304" s="507">
        <f>CHOOSE($B$3,#REF!,#REF!,#REF!,#REF!,#REF!,#REF!,#REF!,#REF!,#REF!,#REF!,SPD!AU304,#REF!,#REF!,#REF!)</f>
        <v>7.38489996983204E-2</v>
      </c>
      <c r="AV304" s="507">
        <f>CHOOSE($B$3,#REF!,#REF!,#REF!,#REF!,#REF!,#REF!,#REF!,#REF!,#REF!,#REF!,SPD!AV304,#REF!,#REF!,#REF!)</f>
        <v>8.1970900000583491E-2</v>
      </c>
      <c r="AW304" s="184"/>
    </row>
    <row r="305" spans="1:49" ht="16">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7">
        <f>CHOOSE($B$3,#REF!,#REF!,#REF!,#REF!,#REF!,#REF!,#REF!,#REF!,#REF!,#REF!,SPD!AR305,#REF!,#REF!,#REF!)</f>
        <v>0.84928043356427518</v>
      </c>
      <c r="AS305" s="507">
        <f>CHOOSE($B$3,#REF!,#REF!,#REF!,#REF!,#REF!,#REF!,#REF!,#REF!,#REF!,#REF!,SPD!AS305,#REF!,#REF!,#REF!)</f>
        <v>0.88250943303273111</v>
      </c>
      <c r="AT305" s="507">
        <f>CHOOSE($B$3,#REF!,#REF!,#REF!,#REF!,#REF!,#REF!,#REF!,#REF!,#REF!,#REF!,SPD!AT305,#REF!,#REF!,#REF!)</f>
        <v>0.84020306656436061</v>
      </c>
      <c r="AU305" s="507">
        <f>CHOOSE($B$3,#REF!,#REF!,#REF!,#REF!,#REF!,#REF!,#REF!,#REF!,#REF!,#REF!,SPD!AU305,#REF!,#REF!,#REF!)</f>
        <v>0.8398816816116853</v>
      </c>
      <c r="AV305" s="507">
        <f>CHOOSE($B$3,#REF!,#REF!,#REF!,#REF!,#REF!,#REF!,#REF!,#REF!,#REF!,#REF!,SPD!AV305,#REF!,#REF!,#REF!)</f>
        <v>0.83916467837790931</v>
      </c>
      <c r="AW305" s="184"/>
    </row>
    <row r="306" spans="1:49" ht="16">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7">
        <f>CHOOSE($B$3,#REF!,#REF!,#REF!,#REF!,#REF!,#REF!,#REF!,#REF!,#REF!,#REF!,SPD!AR306,#REF!,#REF!,#REF!)</f>
        <v>0.33121839741080428</v>
      </c>
      <c r="AS306" s="507">
        <f>CHOOSE($B$3,#REF!,#REF!,#REF!,#REF!,#REF!,#REF!,#REF!,#REF!,#REF!,#REF!,SPD!AS306,#REF!,#REF!,#REF!)</f>
        <v>0.10269516032953971</v>
      </c>
      <c r="AT306" s="507">
        <f>CHOOSE($B$3,#REF!,#REF!,#REF!,#REF!,#REF!,#REF!,#REF!,#REF!,#REF!,#REF!,SPD!AT306,#REF!,#REF!,#REF!)</f>
        <v>0.16406764615478089</v>
      </c>
      <c r="AU306" s="507">
        <f>CHOOSE($B$3,#REF!,#REF!,#REF!,#REF!,#REF!,#REF!,#REF!,#REF!,#REF!,#REF!,SPD!AU306,#REF!,#REF!,#REF!)</f>
        <v>0.16657348880880879</v>
      </c>
      <c r="AV306" s="507">
        <f>CHOOSE($B$3,#REF!,#REF!,#REF!,#REF!,#REF!,#REF!,#REF!,#REF!,#REF!,#REF!,SPD!AV306,#REF!,#REF!,#REF!)</f>
        <v>0.16906627404841437</v>
      </c>
      <c r="AW306" s="184"/>
    </row>
    <row r="307" spans="1:49" ht="16">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7">
        <f>CHOOSE($B$3,#REF!,#REF!,#REF!,#REF!,#REF!,#REF!,#REF!,#REF!,#REF!,#REF!,SPD!AR307,#REF!,#REF!,#REF!)</f>
        <v>0</v>
      </c>
      <c r="AS307" s="507">
        <f>CHOOSE($B$3,#REF!,#REF!,#REF!,#REF!,#REF!,#REF!,#REF!,#REF!,#REF!,#REF!,SPD!AS307,#REF!,#REF!,#REF!)</f>
        <v>0</v>
      </c>
      <c r="AT307" s="507">
        <f>CHOOSE($B$3,#REF!,#REF!,#REF!,#REF!,#REF!,#REF!,#REF!,#REF!,#REF!,#REF!,SPD!AT307,#REF!,#REF!,#REF!)</f>
        <v>0</v>
      </c>
      <c r="AU307" s="507">
        <f>CHOOSE($B$3,#REF!,#REF!,#REF!,#REF!,#REF!,#REF!,#REF!,#REF!,#REF!,#REF!,SPD!AU307,#REF!,#REF!,#REF!)</f>
        <v>0</v>
      </c>
      <c r="AV307" s="507">
        <f>CHOOSE($B$3,#REF!,#REF!,#REF!,#REF!,#REF!,#REF!,#REF!,#REF!,#REF!,#REF!,SPD!AV307,#REF!,#REF!,#REF!)</f>
        <v>0</v>
      </c>
      <c r="AW307" s="184"/>
    </row>
    <row r="308" spans="1:49" ht="16">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7">
        <f>CHOOSE($B$3,#REF!,#REF!,#REF!,#REF!,#REF!,#REF!,#REF!,#REF!,#REF!,#REF!,SPD!AR308,#REF!,#REF!,#REF!)</f>
        <v>0.29170109176387227</v>
      </c>
      <c r="AS308" s="507">
        <f>CHOOSE($B$3,#REF!,#REF!,#REF!,#REF!,#REF!,#REF!,#REF!,#REF!,#REF!,#REF!,SPD!AS308,#REF!,#REF!,#REF!)</f>
        <v>0.29286428655237379</v>
      </c>
      <c r="AT308" s="507">
        <f>CHOOSE($B$3,#REF!,#REF!,#REF!,#REF!,#REF!,#REF!,#REF!,#REF!,#REF!,#REF!,SPD!AT308,#REF!,#REF!,#REF!)</f>
        <v>0.29552240377860511</v>
      </c>
      <c r="AU308" s="507">
        <f>CHOOSE($B$3,#REF!,#REF!,#REF!,#REF!,#REF!,#REF!,#REF!,#REF!,#REF!,#REF!,SPD!AU308,#REF!,#REF!,#REF!)</f>
        <v>0.30554772537732194</v>
      </c>
      <c r="AV308" s="507">
        <f>CHOOSE($B$3,#REF!,#REF!,#REF!,#REF!,#REF!,#REF!,#REF!,#REF!,#REF!,#REF!,SPD!AV308,#REF!,#REF!,#REF!)</f>
        <v>0.31000424902461649</v>
      </c>
      <c r="AW308" s="184"/>
    </row>
    <row r="309" spans="1:49" ht="16">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7">
        <f>CHOOSE($B$3,#REF!,#REF!,#REF!,#REF!,#REF!,#REF!,#REF!,#REF!,#REF!,#REF!,SPD!AR309,#REF!,#REF!,#REF!)</f>
        <v>0</v>
      </c>
      <c r="AS309" s="507">
        <f>CHOOSE($B$3,#REF!,#REF!,#REF!,#REF!,#REF!,#REF!,#REF!,#REF!,#REF!,#REF!,SPD!AS309,#REF!,#REF!,#REF!)</f>
        <v>0</v>
      </c>
      <c r="AT309" s="507">
        <f>CHOOSE($B$3,#REF!,#REF!,#REF!,#REF!,#REF!,#REF!,#REF!,#REF!,#REF!,#REF!,SPD!AT309,#REF!,#REF!,#REF!)</f>
        <v>0</v>
      </c>
      <c r="AU309" s="507">
        <f>CHOOSE($B$3,#REF!,#REF!,#REF!,#REF!,#REF!,#REF!,#REF!,#REF!,#REF!,#REF!,SPD!AU309,#REF!,#REF!,#REF!)</f>
        <v>0</v>
      </c>
      <c r="AV309" s="507">
        <f>CHOOSE($B$3,#REF!,#REF!,#REF!,#REF!,#REF!,#REF!,#REF!,#REF!,#REF!,#REF!,SPD!AV309,#REF!,#REF!,#REF!)</f>
        <v>0</v>
      </c>
      <c r="AW309" s="184"/>
    </row>
    <row r="310" spans="1:49" ht="16">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7">
        <f>CHOOSE($B$3,#REF!,#REF!,#REF!,#REF!,#REF!,#REF!,#REF!,#REF!,#REF!,#REF!,SPD!AR310,#REF!,#REF!,#REF!)</f>
        <v>0</v>
      </c>
      <c r="AS310" s="507">
        <f>CHOOSE($B$3,#REF!,#REF!,#REF!,#REF!,#REF!,#REF!,#REF!,#REF!,#REF!,#REF!,SPD!AS310,#REF!,#REF!,#REF!)</f>
        <v>0</v>
      </c>
      <c r="AT310" s="507">
        <f>CHOOSE($B$3,#REF!,#REF!,#REF!,#REF!,#REF!,#REF!,#REF!,#REF!,#REF!,#REF!,SPD!AT310,#REF!,#REF!,#REF!)</f>
        <v>0</v>
      </c>
      <c r="AU310" s="507">
        <f>CHOOSE($B$3,#REF!,#REF!,#REF!,#REF!,#REF!,#REF!,#REF!,#REF!,#REF!,#REF!,SPD!AU310,#REF!,#REF!,#REF!)</f>
        <v>0</v>
      </c>
      <c r="AV310" s="507">
        <f>CHOOSE($B$3,#REF!,#REF!,#REF!,#REF!,#REF!,#REF!,#REF!,#REF!,#REF!,#REF!,SPD!AV310,#REF!,#REF!,#REF!)</f>
        <v>0</v>
      </c>
      <c r="AW310" s="184"/>
    </row>
    <row r="311" spans="1:49" ht="16">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7">
        <f>CHOOSE($B$3,#REF!,#REF!,#REF!,#REF!,#REF!,#REF!,#REF!,#REF!,#REF!,#REF!,SPD!AR311,#REF!,#REF!,#REF!)</f>
        <v>0</v>
      </c>
      <c r="AS311" s="507">
        <f>CHOOSE($B$3,#REF!,#REF!,#REF!,#REF!,#REF!,#REF!,#REF!,#REF!,#REF!,#REF!,SPD!AS311,#REF!,#REF!,#REF!)</f>
        <v>0</v>
      </c>
      <c r="AT311" s="507">
        <f>CHOOSE($B$3,#REF!,#REF!,#REF!,#REF!,#REF!,#REF!,#REF!,#REF!,#REF!,#REF!,SPD!AT311,#REF!,#REF!,#REF!)</f>
        <v>0</v>
      </c>
      <c r="AU311" s="507">
        <f>CHOOSE($B$3,#REF!,#REF!,#REF!,#REF!,#REF!,#REF!,#REF!,#REF!,#REF!,#REF!,SPD!AU311,#REF!,#REF!,#REF!)</f>
        <v>0</v>
      </c>
      <c r="AV311" s="507">
        <f>CHOOSE($B$3,#REF!,#REF!,#REF!,#REF!,#REF!,#REF!,#REF!,#REF!,#REF!,#REF!,SPD!AV311,#REF!,#REF!,#REF!)</f>
        <v>0</v>
      </c>
      <c r="AW311" s="184"/>
    </row>
    <row r="312" spans="1:49" ht="16">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7">
        <f>CHOOSE($B$3,#REF!,#REF!,#REF!,#REF!,#REF!,#REF!,#REF!,#REF!,#REF!,#REF!,SPD!AR312,#REF!,#REF!,#REF!)</f>
        <v>0</v>
      </c>
      <c r="AS312" s="507">
        <f>CHOOSE($B$3,#REF!,#REF!,#REF!,#REF!,#REF!,#REF!,#REF!,#REF!,#REF!,#REF!,SPD!AS312,#REF!,#REF!,#REF!)</f>
        <v>0</v>
      </c>
      <c r="AT312" s="507">
        <f>CHOOSE($B$3,#REF!,#REF!,#REF!,#REF!,#REF!,#REF!,#REF!,#REF!,#REF!,#REF!,SPD!AT312,#REF!,#REF!,#REF!)</f>
        <v>0</v>
      </c>
      <c r="AU312" s="507">
        <f>CHOOSE($B$3,#REF!,#REF!,#REF!,#REF!,#REF!,#REF!,#REF!,#REF!,#REF!,#REF!,SPD!AU312,#REF!,#REF!,#REF!)</f>
        <v>0</v>
      </c>
      <c r="AV312" s="507">
        <f>CHOOSE($B$3,#REF!,#REF!,#REF!,#REF!,#REF!,#REF!,#REF!,#REF!,#REF!,#REF!,SPD!AV312,#REF!,#REF!,#REF!)</f>
        <v>0</v>
      </c>
      <c r="AW312" s="184"/>
    </row>
    <row r="313" spans="1:49" ht="16">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7">
        <f>CHOOSE($B$3,#REF!,#REF!,#REF!,#REF!,#REF!,#REF!,#REF!,#REF!,#REF!,#REF!,SPD!AR313,#REF!,#REF!,#REF!)</f>
        <v>0</v>
      </c>
      <c r="AS313" s="507">
        <f>CHOOSE($B$3,#REF!,#REF!,#REF!,#REF!,#REF!,#REF!,#REF!,#REF!,#REF!,#REF!,SPD!AS313,#REF!,#REF!,#REF!)</f>
        <v>0</v>
      </c>
      <c r="AT313" s="507">
        <f>CHOOSE($B$3,#REF!,#REF!,#REF!,#REF!,#REF!,#REF!,#REF!,#REF!,#REF!,#REF!,SPD!AT313,#REF!,#REF!,#REF!)</f>
        <v>0</v>
      </c>
      <c r="AU313" s="507">
        <f>CHOOSE($B$3,#REF!,#REF!,#REF!,#REF!,#REF!,#REF!,#REF!,#REF!,#REF!,#REF!,SPD!AU313,#REF!,#REF!,#REF!)</f>
        <v>0</v>
      </c>
      <c r="AV313" s="507">
        <f>CHOOSE($B$3,#REF!,#REF!,#REF!,#REF!,#REF!,#REF!,#REF!,#REF!,#REF!,#REF!,SPD!AV313,#REF!,#REF!,#REF!)</f>
        <v>0</v>
      </c>
      <c r="AW313" s="184"/>
    </row>
    <row r="314" spans="1:49" ht="16">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7">
        <f>CHOOSE($B$3,#REF!,#REF!,#REF!,#REF!,#REF!,#REF!,#REF!,#REF!,#REF!,#REF!,SPD!AR314,#REF!,#REF!,#REF!)</f>
        <v>0</v>
      </c>
      <c r="AS314" s="507">
        <f>CHOOSE($B$3,#REF!,#REF!,#REF!,#REF!,#REF!,#REF!,#REF!,#REF!,#REF!,#REF!,SPD!AS314,#REF!,#REF!,#REF!)</f>
        <v>0</v>
      </c>
      <c r="AT314" s="507">
        <f>CHOOSE($B$3,#REF!,#REF!,#REF!,#REF!,#REF!,#REF!,#REF!,#REF!,#REF!,#REF!,SPD!AT314,#REF!,#REF!,#REF!)</f>
        <v>0</v>
      </c>
      <c r="AU314" s="507">
        <f>CHOOSE($B$3,#REF!,#REF!,#REF!,#REF!,#REF!,#REF!,#REF!,#REF!,#REF!,#REF!,SPD!AU314,#REF!,#REF!,#REF!)</f>
        <v>0</v>
      </c>
      <c r="AV314" s="507">
        <f>CHOOSE($B$3,#REF!,#REF!,#REF!,#REF!,#REF!,#REF!,#REF!,#REF!,#REF!,#REF!,SPD!AV314,#REF!,#REF!,#REF!)</f>
        <v>0</v>
      </c>
      <c r="AW314" s="184"/>
    </row>
    <row r="315" spans="1:49" ht="16">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7">
        <f>CHOOSE($B$3,#REF!,#REF!,#REF!,#REF!,#REF!,#REF!,#REF!,#REF!,#REF!,#REF!,SPD!AR315,#REF!,#REF!,#REF!)</f>
        <v>0</v>
      </c>
      <c r="AS315" s="507">
        <f>CHOOSE($B$3,#REF!,#REF!,#REF!,#REF!,#REF!,#REF!,#REF!,#REF!,#REF!,#REF!,SPD!AS315,#REF!,#REF!,#REF!)</f>
        <v>0</v>
      </c>
      <c r="AT315" s="507">
        <f>CHOOSE($B$3,#REF!,#REF!,#REF!,#REF!,#REF!,#REF!,#REF!,#REF!,#REF!,#REF!,SPD!AT315,#REF!,#REF!,#REF!)</f>
        <v>0</v>
      </c>
      <c r="AU315" s="507">
        <f>CHOOSE($B$3,#REF!,#REF!,#REF!,#REF!,#REF!,#REF!,#REF!,#REF!,#REF!,#REF!,SPD!AU315,#REF!,#REF!,#REF!)</f>
        <v>0</v>
      </c>
      <c r="AV315" s="507">
        <f>CHOOSE($B$3,#REF!,#REF!,#REF!,#REF!,#REF!,#REF!,#REF!,#REF!,#REF!,#REF!,SPD!AV315,#REF!,#REF!,#REF!)</f>
        <v>0</v>
      </c>
      <c r="AW315" s="184"/>
    </row>
    <row r="316" spans="1:49" ht="16">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7">
        <f>CHOOSE($B$3,#REF!,#REF!,#REF!,#REF!,#REF!,#REF!,#REF!,#REF!,#REF!,#REF!,SPD!AR316,#REF!,#REF!,#REF!)</f>
        <v>6.7797371428799215E-3</v>
      </c>
      <c r="AS316" s="507">
        <f>CHOOSE($B$3,#REF!,#REF!,#REF!,#REF!,#REF!,#REF!,#REF!,#REF!,#REF!,#REF!,SPD!AS316,#REF!,#REF!,#REF!)</f>
        <v>7.7292802009390951E-3</v>
      </c>
      <c r="AT316" s="507">
        <f>CHOOSE($B$3,#REF!,#REF!,#REF!,#REF!,#REF!,#REF!,#REF!,#REF!,#REF!,#REF!,SPD!AT316,#REF!,#REF!,#REF!)</f>
        <v>7.2330226719264715E-3</v>
      </c>
      <c r="AU316" s="507">
        <f>CHOOSE($B$3,#REF!,#REF!,#REF!,#REF!,#REF!,#REF!,#REF!,#REF!,#REF!,#REF!,SPD!AU316,#REF!,#REF!,#REF!)</f>
        <v>6.6090915968847839E-3</v>
      </c>
      <c r="AV316" s="507">
        <f>CHOOSE($B$3,#REF!,#REF!,#REF!,#REF!,#REF!,#REF!,#REF!,#REF!,#REF!,#REF!,SPD!AV316,#REF!,#REF!,#REF!)</f>
        <v>3.909433740260192E-3</v>
      </c>
      <c r="AW316" s="184"/>
    </row>
    <row r="317" spans="1:49" ht="16">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7">
        <f>CHOOSE($B$3,#REF!,#REF!,#REF!,#REF!,#REF!,#REF!,#REF!,#REF!,#REF!,#REF!,SPD!AR317,#REF!,#REF!,#REF!)</f>
        <v>5.4997558143779476E-2</v>
      </c>
      <c r="AS317" s="507">
        <f>CHOOSE($B$3,#REF!,#REF!,#REF!,#REF!,#REF!,#REF!,#REF!,#REF!,#REF!,#REF!,SPD!AS317,#REF!,#REF!,#REF!)</f>
        <v>3.5703579087375772E-2</v>
      </c>
      <c r="AT317" s="507">
        <f>CHOOSE($B$3,#REF!,#REF!,#REF!,#REF!,#REF!,#REF!,#REF!,#REF!,#REF!,#REF!,SPD!AT317,#REF!,#REF!,#REF!)</f>
        <v>2.8108646685215198E-2</v>
      </c>
      <c r="AU317" s="507">
        <f>CHOOSE($B$3,#REF!,#REF!,#REF!,#REF!,#REF!,#REF!,#REF!,#REF!,#REF!,#REF!,SPD!AU317,#REF!,#REF!,#REF!)</f>
        <v>3.0654744499805521E-2</v>
      </c>
      <c r="AV317" s="507">
        <f>CHOOSE($B$3,#REF!,#REF!,#REF!,#REF!,#REF!,#REF!,#REF!,#REF!,#REF!,#REF!,SPD!AV317,#REF!,#REF!,#REF!)</f>
        <v>3.5294469086433404E-2</v>
      </c>
      <c r="AW317" s="184"/>
    </row>
    <row r="318" spans="1:49" ht="16">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7">
        <f>CHOOSE($B$3,#REF!,#REF!,#REF!,#REF!,#REF!,#REF!,#REF!,#REF!,#REF!,#REF!,SPD!AR318,#REF!,#REF!,#REF!)</f>
        <v>0</v>
      </c>
      <c r="AS318" s="507">
        <f>CHOOSE($B$3,#REF!,#REF!,#REF!,#REF!,#REF!,#REF!,#REF!,#REF!,#REF!,#REF!,SPD!AS318,#REF!,#REF!,#REF!)</f>
        <v>0</v>
      </c>
      <c r="AT318" s="507">
        <f>CHOOSE($B$3,#REF!,#REF!,#REF!,#REF!,#REF!,#REF!,#REF!,#REF!,#REF!,#REF!,SPD!AT318,#REF!,#REF!,#REF!)</f>
        <v>0</v>
      </c>
      <c r="AU318" s="507">
        <f>CHOOSE($B$3,#REF!,#REF!,#REF!,#REF!,#REF!,#REF!,#REF!,#REF!,#REF!,#REF!,SPD!AU318,#REF!,#REF!,#REF!)</f>
        <v>0</v>
      </c>
      <c r="AV318" s="507">
        <f>CHOOSE($B$3,#REF!,#REF!,#REF!,#REF!,#REF!,#REF!,#REF!,#REF!,#REF!,#REF!,SPD!AV318,#REF!,#REF!,#REF!)</f>
        <v>0</v>
      </c>
      <c r="AW318" s="184"/>
    </row>
    <row r="319" spans="1:49" ht="16">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7">
        <f>CHOOSE($B$3,#REF!,#REF!,#REF!,#REF!,#REF!,#REF!,#REF!,#REF!,#REF!,#REF!,SPD!AR319,#REF!,#REF!,#REF!)</f>
        <v>0</v>
      </c>
      <c r="AS319" s="507">
        <f>CHOOSE($B$3,#REF!,#REF!,#REF!,#REF!,#REF!,#REF!,#REF!,#REF!,#REF!,#REF!,SPD!AS319,#REF!,#REF!,#REF!)</f>
        <v>0</v>
      </c>
      <c r="AT319" s="507">
        <f>CHOOSE($B$3,#REF!,#REF!,#REF!,#REF!,#REF!,#REF!,#REF!,#REF!,#REF!,#REF!,SPD!AT319,#REF!,#REF!,#REF!)</f>
        <v>0</v>
      </c>
      <c r="AU319" s="507">
        <f>CHOOSE($B$3,#REF!,#REF!,#REF!,#REF!,#REF!,#REF!,#REF!,#REF!,#REF!,#REF!,SPD!AU319,#REF!,#REF!,#REF!)</f>
        <v>0</v>
      </c>
      <c r="AV319" s="507">
        <f>CHOOSE($B$3,#REF!,#REF!,#REF!,#REF!,#REF!,#REF!,#REF!,#REF!,#REF!,#REF!,SPD!AV319,#REF!,#REF!,#REF!)</f>
        <v>0</v>
      </c>
      <c r="AW319" s="184"/>
    </row>
    <row r="320" spans="1:49" ht="16">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7">
        <f>CHOOSE($B$3,#REF!,#REF!,#REF!,#REF!,#REF!,#REF!,#REF!,#REF!,#REF!,#REF!,SPD!AR320,#REF!,#REF!,#REF!)</f>
        <v>0</v>
      </c>
      <c r="AS320" s="507">
        <f>CHOOSE($B$3,#REF!,#REF!,#REF!,#REF!,#REF!,#REF!,#REF!,#REF!,#REF!,#REF!,SPD!AS320,#REF!,#REF!,#REF!)</f>
        <v>0</v>
      </c>
      <c r="AT320" s="507">
        <f>CHOOSE($B$3,#REF!,#REF!,#REF!,#REF!,#REF!,#REF!,#REF!,#REF!,#REF!,#REF!,SPD!AT320,#REF!,#REF!,#REF!)</f>
        <v>0</v>
      </c>
      <c r="AU320" s="507">
        <f>CHOOSE($B$3,#REF!,#REF!,#REF!,#REF!,#REF!,#REF!,#REF!,#REF!,#REF!,#REF!,SPD!AU320,#REF!,#REF!,#REF!)</f>
        <v>0</v>
      </c>
      <c r="AV320" s="507">
        <f>CHOOSE($B$3,#REF!,#REF!,#REF!,#REF!,#REF!,#REF!,#REF!,#REF!,#REF!,#REF!,SPD!AV320,#REF!,#REF!,#REF!)</f>
        <v>0</v>
      </c>
      <c r="AW320" s="184"/>
    </row>
    <row r="321" spans="1:49" ht="16">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7">
        <f>CHOOSE($B$3,#REF!,#REF!,#REF!,#REF!,#REF!,#REF!,#REF!,#REF!,#REF!,#REF!,SPD!AR321,#REF!,#REF!,#REF!)</f>
        <v>0</v>
      </c>
      <c r="AS321" s="507">
        <f>CHOOSE($B$3,#REF!,#REF!,#REF!,#REF!,#REF!,#REF!,#REF!,#REF!,#REF!,#REF!,SPD!AS321,#REF!,#REF!,#REF!)</f>
        <v>0</v>
      </c>
      <c r="AT321" s="507">
        <f>CHOOSE($B$3,#REF!,#REF!,#REF!,#REF!,#REF!,#REF!,#REF!,#REF!,#REF!,#REF!,SPD!AT321,#REF!,#REF!,#REF!)</f>
        <v>0</v>
      </c>
      <c r="AU321" s="507">
        <f>CHOOSE($B$3,#REF!,#REF!,#REF!,#REF!,#REF!,#REF!,#REF!,#REF!,#REF!,#REF!,SPD!AU321,#REF!,#REF!,#REF!)</f>
        <v>0</v>
      </c>
      <c r="AV321" s="507">
        <f>CHOOSE($B$3,#REF!,#REF!,#REF!,#REF!,#REF!,#REF!,#REF!,#REF!,#REF!,#REF!,SPD!AV321,#REF!,#REF!,#REF!)</f>
        <v>0</v>
      </c>
      <c r="AW321" s="184"/>
    </row>
    <row r="322" spans="1:49" ht="16">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7">
        <f>CHOOSE($B$3,#REF!,#REF!,#REF!,#REF!,#REF!,#REF!,#REF!,#REF!,#REF!,#REF!,SPD!AR322,#REF!,#REF!,#REF!)</f>
        <v>7.0440870848984373E-3</v>
      </c>
      <c r="AS322" s="507">
        <f>CHOOSE($B$3,#REF!,#REF!,#REF!,#REF!,#REF!,#REF!,#REF!,#REF!,#REF!,#REF!,SPD!AS322,#REF!,#REF!,#REF!)</f>
        <v>4.7232605761292294E-3</v>
      </c>
      <c r="AT322" s="507">
        <f>CHOOSE($B$3,#REF!,#REF!,#REF!,#REF!,#REF!,#REF!,#REF!,#REF!,#REF!,#REF!,SPD!AT322,#REF!,#REF!,#REF!)</f>
        <v>3.913575061881786E-3</v>
      </c>
      <c r="AU322" s="507">
        <f>CHOOSE($B$3,#REF!,#REF!,#REF!,#REF!,#REF!,#REF!,#REF!,#REF!,#REF!,#REF!,SPD!AU322,#REF!,#REF!,#REF!)</f>
        <v>3.999597447812457E-3</v>
      </c>
      <c r="AV322" s="507">
        <f>CHOOSE($B$3,#REF!,#REF!,#REF!,#REF!,#REF!,#REF!,#REF!,#REF!,#REF!,#REF!,SPD!AV322,#REF!,#REF!,#REF!)</f>
        <v>3.9495448669417598E-3</v>
      </c>
      <c r="AW322" s="184"/>
    </row>
    <row r="323" spans="1:49" ht="16">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7">
        <f>CHOOSE($B$3,#REF!,#REF!,#REF!,#REF!,#REF!,#REF!,#REF!,#REF!,#REF!,#REF!,SPD!AR323,#REF!,#REF!,#REF!)</f>
        <v>4.210470651365413E-3</v>
      </c>
      <c r="AS323" s="507">
        <f>CHOOSE($B$3,#REF!,#REF!,#REF!,#REF!,#REF!,#REF!,#REF!,#REF!,#REF!,#REF!,SPD!AS323,#REF!,#REF!,#REF!)</f>
        <v>4.7670903436173827E-3</v>
      </c>
      <c r="AT323" s="507">
        <f>CHOOSE($B$3,#REF!,#REF!,#REF!,#REF!,#REF!,#REF!,#REF!,#REF!,#REF!,#REF!,SPD!AT323,#REF!,#REF!,#REF!)</f>
        <v>9.546351348534491E-3</v>
      </c>
      <c r="AU323" s="507">
        <f>CHOOSE($B$3,#REF!,#REF!,#REF!,#REF!,#REF!,#REF!,#REF!,#REF!,#REF!,#REF!,SPD!AU323,#REF!,#REF!,#REF!)</f>
        <v>8.6164716025311991E-3</v>
      </c>
      <c r="AV323" s="507">
        <f>CHOOSE($B$3,#REF!,#REF!,#REF!,#REF!,#REF!,#REF!,#REF!,#REF!,#REF!,#REF!,SPD!AV323,#REF!,#REF!,#REF!)</f>
        <v>1.3180810946817317E-2</v>
      </c>
      <c r="AW323" s="184"/>
    </row>
    <row r="324" spans="1:49" ht="16">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7">
        <f>CHOOSE($B$3,#REF!,#REF!,#REF!,#REF!,#REF!,#REF!,#REF!,#REF!,#REF!,#REF!,SPD!AR324,#REF!,#REF!,#REF!)</f>
        <v>0</v>
      </c>
      <c r="AS324" s="507">
        <f>CHOOSE($B$3,#REF!,#REF!,#REF!,#REF!,#REF!,#REF!,#REF!,#REF!,#REF!,#REF!,SPD!AS324,#REF!,#REF!,#REF!)</f>
        <v>0</v>
      </c>
      <c r="AT324" s="507">
        <f>CHOOSE($B$3,#REF!,#REF!,#REF!,#REF!,#REF!,#REF!,#REF!,#REF!,#REF!,#REF!,SPD!AT324,#REF!,#REF!,#REF!)</f>
        <v>0</v>
      </c>
      <c r="AU324" s="507">
        <f>CHOOSE($B$3,#REF!,#REF!,#REF!,#REF!,#REF!,#REF!,#REF!,#REF!,#REF!,#REF!,SPD!AU324,#REF!,#REF!,#REF!)</f>
        <v>0</v>
      </c>
      <c r="AV324" s="507">
        <f>CHOOSE($B$3,#REF!,#REF!,#REF!,#REF!,#REF!,#REF!,#REF!,#REF!,#REF!,#REF!,SPD!AV324,#REF!,#REF!,#REF!)</f>
        <v>0</v>
      </c>
      <c r="AW324" s="184"/>
    </row>
    <row r="325" spans="1:49" ht="16">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7">
        <f>CHOOSE($B$3,#REF!,#REF!,#REF!,#REF!,#REF!,#REF!,#REF!,#REF!,#REF!,#REF!,SPD!AR325,#REF!,#REF!,#REF!)</f>
        <v>0.33765109947835653</v>
      </c>
      <c r="AS325" s="507">
        <f>CHOOSE($B$3,#REF!,#REF!,#REF!,#REF!,#REF!,#REF!,#REF!,#REF!,#REF!,#REF!,SPD!AS325,#REF!,#REF!,#REF!)</f>
        <v>0.26847775926117085</v>
      </c>
      <c r="AT325" s="507">
        <f>CHOOSE($B$3,#REF!,#REF!,#REF!,#REF!,#REF!,#REF!,#REF!,#REF!,#REF!,#REF!,SPD!AT325,#REF!,#REF!,#REF!)</f>
        <v>0.2677137255334554</v>
      </c>
      <c r="AU325" s="507">
        <f>CHOOSE($B$3,#REF!,#REF!,#REF!,#REF!,#REF!,#REF!,#REF!,#REF!,#REF!,#REF!,SPD!AU325,#REF!,#REF!,#REF!)</f>
        <v>0.13401870773359842</v>
      </c>
      <c r="AV325" s="507">
        <f>CHOOSE($B$3,#REF!,#REF!,#REF!,#REF!,#REF!,#REF!,#REF!,#REF!,#REF!,#REF!,SPD!AV325,#REF!,#REF!,#REF!)</f>
        <v>0.14757501848388296</v>
      </c>
      <c r="AW325" s="184"/>
    </row>
    <row r="326" spans="1:49" ht="16">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7">
        <f>CHOOSE($B$3,#REF!,#REF!,#REF!,#REF!,#REF!,#REF!,#REF!,#REF!,#REF!,#REF!,SPD!AR326,#REF!,#REF!,#REF!)</f>
        <v>0.15071956643572484</v>
      </c>
      <c r="AS326" s="507">
        <f>CHOOSE($B$3,#REF!,#REF!,#REF!,#REF!,#REF!,#REF!,#REF!,#REF!,#REF!,#REF!,SPD!AS326,#REF!,#REF!,#REF!)</f>
        <v>0.11749056696726895</v>
      </c>
      <c r="AT326" s="507">
        <f>CHOOSE($B$3,#REF!,#REF!,#REF!,#REF!,#REF!,#REF!,#REF!,#REF!,#REF!,#REF!,SPD!AT326,#REF!,#REF!,#REF!)</f>
        <v>0.15979693343563933</v>
      </c>
      <c r="AU326" s="507">
        <f>CHOOSE($B$3,#REF!,#REF!,#REF!,#REF!,#REF!,#REF!,#REF!,#REF!,#REF!,#REF!,SPD!AU326,#REF!,#REF!,#REF!)</f>
        <v>0.16011831838831458</v>
      </c>
      <c r="AV326" s="507">
        <f>CHOOSE($B$3,#REF!,#REF!,#REF!,#REF!,#REF!,#REF!,#REF!,#REF!,#REF!,#REF!,SPD!AV326,#REF!,#REF!,#REF!)</f>
        <v>0.16083532162209063</v>
      </c>
      <c r="AW326" s="184"/>
    </row>
    <row r="327" spans="1:49" ht="16">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7">
        <f>CHOOSE($B$3,#REF!,#REF!,#REF!,#REF!,#REF!,#REF!,#REF!,#REF!,#REF!,#REF!,SPD!AR327,#REF!,#REF!,#REF!)</f>
        <v>0.66878160258919572</v>
      </c>
      <c r="AS327" s="507">
        <f>CHOOSE($B$3,#REF!,#REF!,#REF!,#REF!,#REF!,#REF!,#REF!,#REF!,#REF!,#REF!,SPD!AS327,#REF!,#REF!,#REF!)</f>
        <v>0.89730483967046026</v>
      </c>
      <c r="AT327" s="507">
        <f>CHOOSE($B$3,#REF!,#REF!,#REF!,#REF!,#REF!,#REF!,#REF!,#REF!,#REF!,#REF!,SPD!AT327,#REF!,#REF!,#REF!)</f>
        <v>0.83593235384521913</v>
      </c>
      <c r="AU327" s="507">
        <f>CHOOSE($B$3,#REF!,#REF!,#REF!,#REF!,#REF!,#REF!,#REF!,#REF!,#REF!,#REF!,SPD!AU327,#REF!,#REF!,#REF!)</f>
        <v>0.83342651119119127</v>
      </c>
      <c r="AV327" s="507">
        <f>CHOOSE($B$3,#REF!,#REF!,#REF!,#REF!,#REF!,#REF!,#REF!,#REF!,#REF!,#REF!,SPD!AV327,#REF!,#REF!,#REF!)</f>
        <v>0.83093372595158566</v>
      </c>
      <c r="AW327" s="184"/>
    </row>
    <row r="328" spans="1:49" ht="16">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7">
        <f>CHOOSE($B$3,#REF!,#REF!,#REF!,#REF!,#REF!,#REF!,#REF!,#REF!,#REF!,#REF!,SPD!AR328,#REF!,#REF!,#REF!)</f>
        <v>1</v>
      </c>
      <c r="AS328" s="507">
        <f>CHOOSE($B$3,#REF!,#REF!,#REF!,#REF!,#REF!,#REF!,#REF!,#REF!,#REF!,#REF!,SPD!AS328,#REF!,#REF!,#REF!)</f>
        <v>1</v>
      </c>
      <c r="AT328" s="507">
        <f>CHOOSE($B$3,#REF!,#REF!,#REF!,#REF!,#REF!,#REF!,#REF!,#REF!,#REF!,#REF!,SPD!AT328,#REF!,#REF!,#REF!)</f>
        <v>1</v>
      </c>
      <c r="AU328" s="507">
        <f>CHOOSE($B$3,#REF!,#REF!,#REF!,#REF!,#REF!,#REF!,#REF!,#REF!,#REF!,#REF!,SPD!AU328,#REF!,#REF!,#REF!)</f>
        <v>1</v>
      </c>
      <c r="AV328" s="507">
        <f>CHOOSE($B$3,#REF!,#REF!,#REF!,#REF!,#REF!,#REF!,#REF!,#REF!,#REF!,#REF!,SPD!AV328,#REF!,#REF!,#REF!)</f>
        <v>1</v>
      </c>
      <c r="AW328" s="184"/>
    </row>
    <row r="329" spans="1:49" ht="16">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7">
        <f>CHOOSE($B$3,#REF!,#REF!,#REF!,#REF!,#REF!,#REF!,#REF!,#REF!,#REF!,#REF!,SPD!AR329,#REF!,#REF!,#REF!)</f>
        <v>0.64844586164757567</v>
      </c>
      <c r="AS329" s="507">
        <f>CHOOSE($B$3,#REF!,#REF!,#REF!,#REF!,#REF!,#REF!,#REF!,#REF!,#REF!,#REF!,SPD!AS329,#REF!,#REF!,#REF!)</f>
        <v>0.64475875646269298</v>
      </c>
      <c r="AT329" s="507">
        <f>CHOOSE($B$3,#REF!,#REF!,#REF!,#REF!,#REF!,#REF!,#REF!,#REF!,#REF!,#REF!,SPD!AT329,#REF!,#REF!,#REF!)</f>
        <v>0.63055907232138042</v>
      </c>
      <c r="AU329" s="507">
        <f>CHOOSE($B$3,#REF!,#REF!,#REF!,#REF!,#REF!,#REF!,#REF!,#REF!,#REF!,#REF!,SPD!AU329,#REF!,#REF!,#REF!)</f>
        <v>0.65876989820647325</v>
      </c>
      <c r="AV329" s="507">
        <f>CHOOSE($B$3,#REF!,#REF!,#REF!,#REF!,#REF!,#REF!,#REF!,#REF!,#REF!,#REF!,SPD!AV329,#REF!,#REF!,#REF!)</f>
        <v>0.65801232555080214</v>
      </c>
      <c r="AW329" s="184"/>
    </row>
    <row r="330" spans="1:49" ht="16">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7">
        <f>CHOOSE($B$3,#REF!,#REF!,#REF!,#REF!,#REF!,#REF!,#REF!,#REF!,#REF!,#REF!,SPD!AR330,#REF!,#REF!,#REF!)</f>
        <v>5.7212971669872758E-3</v>
      </c>
      <c r="AS330" s="507">
        <f>CHOOSE($B$3,#REF!,#REF!,#REF!,#REF!,#REF!,#REF!,#REF!,#REF!,#REF!,#REF!,SPD!AS330,#REF!,#REF!,#REF!)</f>
        <v>4.270896067904352E-3</v>
      </c>
      <c r="AT330" s="507">
        <f>CHOOSE($B$3,#REF!,#REF!,#REF!,#REF!,#REF!,#REF!,#REF!,#REF!,#REF!,#REF!,SPD!AT330,#REF!,#REF!,#REF!)</f>
        <v>9.4637679819598692E-4</v>
      </c>
      <c r="AU330" s="507">
        <f>CHOOSE($B$3,#REF!,#REF!,#REF!,#REF!,#REF!,#REF!,#REF!,#REF!,#REF!,#REF!,SPD!AU330,#REF!,#REF!,#REF!)</f>
        <v>1.7759555154776771E-3</v>
      </c>
      <c r="AV330" s="507">
        <f>CHOOSE($B$3,#REF!,#REF!,#REF!,#REF!,#REF!,#REF!,#REF!,#REF!,#REF!,#REF!,SPD!AV330,#REF!,#REF!,#REF!)</f>
        <v>2.3727777036261282E-3</v>
      </c>
      <c r="AW330" s="184"/>
    </row>
    <row r="331" spans="1:49" ht="16">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7">
        <f>CHOOSE($B$3,#REF!,#REF!,#REF!,#REF!,#REF!,#REF!,#REF!,#REF!,#REF!,#REF!,SPD!AR331,#REF!,#REF!,#REF!)</f>
        <v>3.0636827591181458E-3</v>
      </c>
      <c r="AS331" s="507">
        <f>CHOOSE($B$3,#REF!,#REF!,#REF!,#REF!,#REF!,#REF!,#REF!,#REF!,#REF!,#REF!,SPD!AS331,#REF!,#REF!,#REF!)</f>
        <v>2.2293285473298937E-3</v>
      </c>
      <c r="AT331" s="507">
        <f>CHOOSE($B$3,#REF!,#REF!,#REF!,#REF!,#REF!,#REF!,#REF!,#REF!,#REF!,#REF!,SPD!AT331,#REF!,#REF!,#REF!)</f>
        <v>2.0396226467350744E-3</v>
      </c>
      <c r="AU331" s="507">
        <f>CHOOSE($B$3,#REF!,#REF!,#REF!,#REF!,#REF!,#REF!,#REF!,#REF!,#REF!,#REF!,SPD!AU331,#REF!,#REF!,#REF!)</f>
        <v>2.291084406630361E-3</v>
      </c>
      <c r="AV331" s="507">
        <f>CHOOSE($B$3,#REF!,#REF!,#REF!,#REF!,#REF!,#REF!,#REF!,#REF!,#REF!,#REF!,SPD!AV331,#REF!,#REF!,#REF!)</f>
        <v>2.5239336468054099E-3</v>
      </c>
      <c r="AW331" s="184"/>
    </row>
    <row r="332" spans="1:49" ht="16">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7">
        <f>CHOOSE($B$3,#REF!,#REF!,#REF!,#REF!,#REF!,#REF!,#REF!,#REF!,#REF!,#REF!,SPD!AR332,#REF!,#REF!,#REF!)</f>
        <v>0</v>
      </c>
      <c r="AS332" s="507">
        <f>CHOOSE($B$3,#REF!,#REF!,#REF!,#REF!,#REF!,#REF!,#REF!,#REF!,#REF!,#REF!,SPD!AS332,#REF!,#REF!,#REF!)</f>
        <v>0</v>
      </c>
      <c r="AT332" s="507">
        <f>CHOOSE($B$3,#REF!,#REF!,#REF!,#REF!,#REF!,#REF!,#REF!,#REF!,#REF!,#REF!,SPD!AT332,#REF!,#REF!,#REF!)</f>
        <v>0</v>
      </c>
      <c r="AU332" s="507">
        <f>CHOOSE($B$3,#REF!,#REF!,#REF!,#REF!,#REF!,#REF!,#REF!,#REF!,#REF!,#REF!,SPD!AU332,#REF!,#REF!,#REF!)</f>
        <v>0</v>
      </c>
      <c r="AV332" s="507">
        <f>CHOOSE($B$3,#REF!,#REF!,#REF!,#REF!,#REF!,#REF!,#REF!,#REF!,#REF!,#REF!,SPD!AV332,#REF!,#REF!,#REF!)</f>
        <v>0</v>
      </c>
      <c r="AW332" s="184"/>
    </row>
    <row r="333" spans="1:49" ht="16">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7">
        <f>CHOOSE($B$3,#REF!,#REF!,#REF!,#REF!,#REF!,#REF!,#REF!,#REF!,#REF!,#REF!,SPD!AR333,#REF!,#REF!,#REF!)</f>
        <v>0</v>
      </c>
      <c r="AS333" s="507">
        <f>CHOOSE($B$3,#REF!,#REF!,#REF!,#REF!,#REF!,#REF!,#REF!,#REF!,#REF!,#REF!,SPD!AS333,#REF!,#REF!,#REF!)</f>
        <v>0</v>
      </c>
      <c r="AT333" s="507">
        <f>CHOOSE($B$3,#REF!,#REF!,#REF!,#REF!,#REF!,#REF!,#REF!,#REF!,#REF!,#REF!,SPD!AT333,#REF!,#REF!,#REF!)</f>
        <v>0</v>
      </c>
      <c r="AU333" s="507">
        <f>CHOOSE($B$3,#REF!,#REF!,#REF!,#REF!,#REF!,#REF!,#REF!,#REF!,#REF!,#REF!,SPD!AU333,#REF!,#REF!,#REF!)</f>
        <v>0</v>
      </c>
      <c r="AV333" s="507">
        <f>CHOOSE($B$3,#REF!,#REF!,#REF!,#REF!,#REF!,#REF!,#REF!,#REF!,#REF!,#REF!,SPD!AV333,#REF!,#REF!,#REF!)</f>
        <v>0</v>
      </c>
      <c r="AW333" s="184"/>
    </row>
    <row r="334" spans="1:49" ht="16">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7">
        <f>CHOOSE($B$3,#REF!,#REF!,#REF!,#REF!,#REF!,#REF!,#REF!,#REF!,#REF!,#REF!,SPD!AR334,#REF!,#REF!,#REF!)</f>
        <v>0</v>
      </c>
      <c r="AS334" s="507">
        <f>CHOOSE($B$3,#REF!,#REF!,#REF!,#REF!,#REF!,#REF!,#REF!,#REF!,#REF!,#REF!,SPD!AS334,#REF!,#REF!,#REF!)</f>
        <v>0</v>
      </c>
      <c r="AT334" s="507">
        <f>CHOOSE($B$3,#REF!,#REF!,#REF!,#REF!,#REF!,#REF!,#REF!,#REF!,#REF!,#REF!,SPD!AT334,#REF!,#REF!,#REF!)</f>
        <v>0</v>
      </c>
      <c r="AU334" s="507">
        <f>CHOOSE($B$3,#REF!,#REF!,#REF!,#REF!,#REF!,#REF!,#REF!,#REF!,#REF!,#REF!,SPD!AU334,#REF!,#REF!,#REF!)</f>
        <v>0</v>
      </c>
      <c r="AV334" s="507">
        <f>CHOOSE($B$3,#REF!,#REF!,#REF!,#REF!,#REF!,#REF!,#REF!,#REF!,#REF!,#REF!,SPD!AV334,#REF!,#REF!,#REF!)</f>
        <v>0</v>
      </c>
      <c r="AW334" s="184"/>
    </row>
    <row r="335" spans="1:49" ht="16">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7">
        <f>CHOOSE($B$3,#REF!,#REF!,#REF!,#REF!,#REF!,#REF!,#REF!,#REF!,#REF!,#REF!,SPD!AR335,#REF!,#REF!,#REF!)</f>
        <v>0</v>
      </c>
      <c r="AS335" s="507">
        <f>CHOOSE($B$3,#REF!,#REF!,#REF!,#REF!,#REF!,#REF!,#REF!,#REF!,#REF!,#REF!,SPD!AS335,#REF!,#REF!,#REF!)</f>
        <v>0</v>
      </c>
      <c r="AT335" s="507">
        <f>CHOOSE($B$3,#REF!,#REF!,#REF!,#REF!,#REF!,#REF!,#REF!,#REF!,#REF!,#REF!,SPD!AT335,#REF!,#REF!,#REF!)</f>
        <v>0</v>
      </c>
      <c r="AU335" s="507">
        <f>CHOOSE($B$3,#REF!,#REF!,#REF!,#REF!,#REF!,#REF!,#REF!,#REF!,#REF!,#REF!,SPD!AU335,#REF!,#REF!,#REF!)</f>
        <v>0</v>
      </c>
      <c r="AV335" s="507">
        <f>CHOOSE($B$3,#REF!,#REF!,#REF!,#REF!,#REF!,#REF!,#REF!,#REF!,#REF!,#REF!,SPD!AV335,#REF!,#REF!,#REF!)</f>
        <v>0</v>
      </c>
      <c r="AW335" s="184"/>
    </row>
    <row r="336" spans="1:49" ht="16">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7">
        <f>CHOOSE($B$3,#REF!,#REF!,#REF!,#REF!,#REF!,#REF!,#REF!,#REF!,#REF!,#REF!,SPD!AR336,#REF!,#REF!,#REF!)</f>
        <v>7.3724099265089443E-4</v>
      </c>
      <c r="AS336" s="507">
        <f>CHOOSE($B$3,#REF!,#REF!,#REF!,#REF!,#REF!,#REF!,#REF!,#REF!,#REF!,#REF!,SPD!AS336,#REF!,#REF!,#REF!)</f>
        <v>5.3591844613631271E-4</v>
      </c>
      <c r="AT336" s="507">
        <f>CHOOSE($B$3,#REF!,#REF!,#REF!,#REF!,#REF!,#REF!,#REF!,#REF!,#REF!,#REF!,SPD!AT336,#REF!,#REF!,#REF!)</f>
        <v>3.2115254428218687E-4</v>
      </c>
      <c r="AU336" s="507">
        <f>CHOOSE($B$3,#REF!,#REF!,#REF!,#REF!,#REF!,#REF!,#REF!,#REF!,#REF!,#REF!,SPD!AU336,#REF!,#REF!,#REF!)</f>
        <v>4.2569849030426059E-4</v>
      </c>
      <c r="AV336" s="507">
        <f>CHOOSE($B$3,#REF!,#REF!,#REF!,#REF!,#REF!,#REF!,#REF!,#REF!,#REF!,#REF!,SPD!AV336,#REF!,#REF!,#REF!)</f>
        <v>5.1591970791711045E-4</v>
      </c>
      <c r="AW336" s="184"/>
    </row>
    <row r="337" spans="1:49" ht="16">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CHOOSE($B$3,#REF!,#REF!,#REF!,#REF!,#REF!,#REF!,#REF!,#REF!,#REF!,#REF!,SPD!AR341,#REF!,#REF!,#REF!)</f>
        <v>2.663947748147637</v>
      </c>
      <c r="AS341" s="184"/>
      <c r="AT341" s="184"/>
      <c r="AU341" s="184"/>
      <c r="AV341" s="184"/>
      <c r="AW341" s="184"/>
    </row>
    <row r="342" spans="1:49" ht="16">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CHOOSE($B$3,#REF!,#REF!,#REF!,#REF!,#REF!,#REF!,#REF!,#REF!,#REF!,#REF!,SPD!AJ342,#REF!,#REF!,#REF!)</f>
        <v>155.47644391004582</v>
      </c>
      <c r="AK342" s="476">
        <f>CHOOSE($B$3,#REF!,#REF!,#REF!,#REF!,#REF!,#REF!,#REF!,#REF!,#REF!,#REF!,SPD!AK342,#REF!,#REF!,#REF!)</f>
        <v>160.27143604571083</v>
      </c>
      <c r="AL342" s="476">
        <f>CHOOSE($B$3,#REF!,#REF!,#REF!,#REF!,#REF!,#REF!,#REF!,#REF!,#REF!,#REF!,SPD!AL342,#REF!,#REF!,#REF!)</f>
        <v>163.61468448169003</v>
      </c>
      <c r="AM342" s="476">
        <f>CHOOSE($B$3,#REF!,#REF!,#REF!,#REF!,#REF!,#REF!,#REF!,#REF!,#REF!,#REF!,SPD!AM342,#REF!,#REF!,#REF!)</f>
        <v>166.78837935150085</v>
      </c>
      <c r="AN342" s="476">
        <f>CHOOSE($B$3,#REF!,#REF!,#REF!,#REF!,#REF!,#REF!,#REF!,#REF!,#REF!,#REF!,SPD!AN342,#REF!,#REF!,#REF!)</f>
        <v>160.69090523259601</v>
      </c>
      <c r="AO342" s="476">
        <f>CHOOSE($B$3,#REF!,#REF!,#REF!,#REF!,#REF!,#REF!,#REF!,#REF!,#REF!,#REF!,SPD!AO342,#REF!,#REF!,#REF!)</f>
        <v>155.11765893586826</v>
      </c>
      <c r="AP342" s="476">
        <f>CHOOSE($B$3,#REF!,#REF!,#REF!,#REF!,#REF!,#REF!,#REF!,#REF!,#REF!,#REF!,SPD!AP342,#REF!,#REF!,#REF!)</f>
        <v>147.25037059693383</v>
      </c>
      <c r="AQ342" s="477">
        <f>CHOOSE($B$3,#REF!,#REF!,#REF!,#REF!,#REF!,#REF!,#REF!,#REF!,#REF!,#REF!,SPD!AQ342,#REF!,#REF!,#REF!)</f>
        <v>148.39957411124954</v>
      </c>
      <c r="AR342" s="184"/>
      <c r="AS342" s="184"/>
      <c r="AT342" s="184"/>
      <c r="AU342" s="184"/>
      <c r="AV342" s="184"/>
      <c r="AW342" s="184"/>
    </row>
    <row r="343" spans="1:49" ht="16">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CHOOSE($B$3,#REF!,#REF!,#REF!,#REF!,#REF!,#REF!,#REF!,#REF!,#REF!,#REF!,SPD!AR344,#REF!,#REF!,#REF!)</f>
        <v>50.899217296015387</v>
      </c>
      <c r="AS344" s="184"/>
      <c r="AT344" s="184"/>
      <c r="AU344" s="184"/>
      <c r="AV344" s="184"/>
      <c r="AW344" s="184"/>
    </row>
    <row r="345" spans="1:49" ht="16">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CHOOSE($B$3,#REF!,#REF!,#REF!,#REF!,#REF!,#REF!,#REF!,#REF!,#REF!,#REF!,SPD!AR345,#REF!,#REF!,#REF!)</f>
        <v>1406.2597625255362</v>
      </c>
      <c r="AS345" s="184"/>
      <c r="AT345" s="184"/>
      <c r="AU345" s="184"/>
      <c r="AV345" s="184"/>
      <c r="AW345" s="184"/>
    </row>
    <row r="346" spans="1:49" ht="16">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CHOOSE($B$3,#REF!,#REF!,#REF!,#REF!,#REF!,#REF!,#REF!,#REF!,#REF!,#REF!,SPD!AR346,#REF!,#REF!,#REF!)</f>
        <v>0</v>
      </c>
      <c r="AS346" s="184"/>
      <c r="AT346" s="184"/>
      <c r="AU346" s="184"/>
      <c r="AV346" s="184"/>
      <c r="AW346" s="184"/>
    </row>
    <row r="347" spans="1:49" ht="16">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CHOOSE($B$3,#REF!,#REF!,#REF!,#REF!,#REF!,#REF!,#REF!,#REF!,#REF!,#REF!,SPD!AQ347,#REF!,#REF!,#REF!)</f>
        <v>0</v>
      </c>
      <c r="AR347" s="455"/>
      <c r="AS347" s="184"/>
      <c r="AT347" s="184"/>
      <c r="AU347" s="184"/>
      <c r="AV347" s="184"/>
      <c r="AW347" s="184"/>
    </row>
    <row r="348" spans="1:49" ht="16">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CHOOSE($B$3,#REF!,#REF!,#REF!,#REF!,#REF!,#REF!,#REF!,#REF!,#REF!,#REF!,SPD!AR348,#REF!,#REF!,#REF!)</f>
        <v>0</v>
      </c>
      <c r="AS348" s="184"/>
      <c r="AT348" s="184"/>
      <c r="AU348" s="184"/>
      <c r="AV348" s="184"/>
      <c r="AW348" s="184"/>
    </row>
    <row r="349" spans="1:49" ht="16">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CHOOSE($B$3,#REF!,#REF!,#REF!,#REF!,#REF!,#REF!,#REF!,#REF!,#REF!,#REF!,SPD!AR349,#REF!,#REF!,#REF!)</f>
        <v>0</v>
      </c>
      <c r="AS349" s="184"/>
      <c r="AT349" s="184"/>
      <c r="AU349" s="184"/>
      <c r="AV349" s="184"/>
      <c r="AW349" s="184"/>
    </row>
    <row r="350" spans="1:49" ht="16">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CHOOSE($B$3,#REF!,#REF!,#REF!,#REF!,#REF!,#REF!,#REF!,#REF!,#REF!,#REF!,SPD!AP351,#REF!,#REF!,#REF!)</f>
        <v>342.88656016559275</v>
      </c>
      <c r="AQ351" s="477">
        <f>CHOOSE($B$3,#REF!,#REF!,#REF!,#REF!,#REF!,#REF!,#REF!,#REF!,#REF!,#REF!,SPD!AQ351,#REF!,#REF!,#REF!)</f>
        <v>325.72322677223258</v>
      </c>
      <c r="AR351" s="364"/>
      <c r="AS351" s="184"/>
      <c r="AT351" s="184"/>
      <c r="AU351" s="184"/>
      <c r="AV351" s="184"/>
      <c r="AW351" s="184"/>
    </row>
    <row r="352" spans="1:49" ht="16">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CHOOSE($B$3,#REF!,#REF!,#REF!,#REF!,#REF!,#REF!,#REF!,#REF!,#REF!,#REF!,SPD!AJ352,#REF!,#REF!,#REF!)</f>
        <v>0</v>
      </c>
      <c r="AK352" s="476">
        <f>CHOOSE($B$3,#REF!,#REF!,#REF!,#REF!,#REF!,#REF!,#REF!,#REF!,#REF!,#REF!,SPD!AK352,#REF!,#REF!,#REF!)</f>
        <v>0</v>
      </c>
      <c r="AL352" s="476">
        <f>CHOOSE($B$3,#REF!,#REF!,#REF!,#REF!,#REF!,#REF!,#REF!,#REF!,#REF!,#REF!,SPD!AL352,#REF!,#REF!,#REF!)</f>
        <v>0</v>
      </c>
      <c r="AM352" s="476">
        <f>CHOOSE($B$3,#REF!,#REF!,#REF!,#REF!,#REF!,#REF!,#REF!,#REF!,#REF!,#REF!,SPD!AM352,#REF!,#REF!,#REF!)</f>
        <v>0</v>
      </c>
      <c r="AN352" s="476">
        <f>CHOOSE($B$3,#REF!,#REF!,#REF!,#REF!,#REF!,#REF!,#REF!,#REF!,#REF!,#REF!,SPD!AN352,#REF!,#REF!,#REF!)</f>
        <v>0</v>
      </c>
      <c r="AO352" s="476">
        <f>CHOOSE($B$3,#REF!,#REF!,#REF!,#REF!,#REF!,#REF!,#REF!,#REF!,#REF!,#REF!,SPD!AO352,#REF!,#REF!,#REF!)</f>
        <v>0</v>
      </c>
      <c r="AP352" s="476">
        <f>CHOOSE($B$3,#REF!,#REF!,#REF!,#REF!,#REF!,#REF!,#REF!,#REF!,#REF!,#REF!,SPD!AP352,#REF!,#REF!,#REF!)</f>
        <v>1.238</v>
      </c>
      <c r="AQ352" s="477">
        <f>CHOOSE($B$3,#REF!,#REF!,#REF!,#REF!,#REF!,#REF!,#REF!,#REF!,#REF!,#REF!,SPD!AQ352,#REF!,#REF!,#REF!)</f>
        <v>1.321</v>
      </c>
      <c r="AR352" s="364"/>
      <c r="AS352" s="184"/>
      <c r="AT352" s="184"/>
      <c r="AU352" s="184"/>
      <c r="AV352" s="184"/>
      <c r="AW352" s="184"/>
    </row>
    <row r="353" spans="1:49" ht="16">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CHOOSE($B$3,#REF!,#REF!,#REF!,#REF!,#REF!,#REF!,#REF!,#REF!,#REF!,#REF!,SPD!AJ354,#REF!,#REF!,#REF!)</f>
        <v>391.37700000000001</v>
      </c>
      <c r="AK354" s="476">
        <f>CHOOSE($B$3,#REF!,#REF!,#REF!,#REF!,#REF!,#REF!,#REF!,#REF!,#REF!,#REF!,SPD!AK354,#REF!,#REF!,#REF!)</f>
        <v>386.80900000000003</v>
      </c>
      <c r="AL354" s="476">
        <f>CHOOSE($B$3,#REF!,#REF!,#REF!,#REF!,#REF!,#REF!,#REF!,#REF!,#REF!,#REF!,SPD!AL354,#REF!,#REF!,#REF!)</f>
        <v>377.35319400333327</v>
      </c>
      <c r="AM354" s="476">
        <f>CHOOSE($B$3,#REF!,#REF!,#REF!,#REF!,#REF!,#REF!,#REF!,#REF!,#REF!,#REF!,SPD!AM354,#REF!,#REF!,#REF!)</f>
        <v>406.1183723095557</v>
      </c>
      <c r="AN354" s="476">
        <f>CHOOSE($B$3,#REF!,#REF!,#REF!,#REF!,#REF!,#REF!,#REF!,#REF!,#REF!,#REF!,SPD!AN354,#REF!,#REF!,#REF!)</f>
        <v>421.42452208894213</v>
      </c>
      <c r="AO354" s="476">
        <f>CHOOSE($B$3,#REF!,#REF!,#REF!,#REF!,#REF!,#REF!,#REF!,#REF!,#REF!,#REF!,SPD!AO354,#REF!,#REF!,#REF!)</f>
        <v>415.57624345133331</v>
      </c>
      <c r="AP354" s="476">
        <f>CHOOSE($B$3,#REF!,#REF!,#REF!,#REF!,#REF!,#REF!,#REF!,#REF!,#REF!,#REF!,SPD!AP354,#REF!,#REF!,#REF!)</f>
        <v>428.82277486266662</v>
      </c>
      <c r="AQ354" s="477">
        <f>CHOOSE($B$3,#REF!,#REF!,#REF!,#REF!,#REF!,#REF!,#REF!,#REF!,#REF!,#REF!,SPD!AQ354,#REF!,#REF!,#REF!)</f>
        <v>518.44197616319991</v>
      </c>
      <c r="AR354" s="184"/>
      <c r="AS354" s="184"/>
      <c r="AT354" s="184"/>
      <c r="AU354" s="184"/>
      <c r="AV354" s="184"/>
      <c r="AW354" s="184"/>
    </row>
    <row r="355" spans="1:49" ht="16">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CHOOSE($B$3,#REF!,#REF!,#REF!,#REF!,#REF!,#REF!,#REF!,#REF!,#REF!,#REF!,SPD!AJ355,#REF!,#REF!,#REF!)</f>
        <v>383.79577345479782</v>
      </c>
      <c r="AK355" s="476">
        <f>CHOOSE($B$3,#REF!,#REF!,#REF!,#REF!,#REF!,#REF!,#REF!,#REF!,#REF!,#REF!,SPD!AK355,#REF!,#REF!,#REF!)</f>
        <v>393.23197966848056</v>
      </c>
      <c r="AL355" s="476">
        <f>CHOOSE($B$3,#REF!,#REF!,#REF!,#REF!,#REF!,#REF!,#REF!,#REF!,#REF!,#REF!,SPD!AL355,#REF!,#REF!,#REF!)</f>
        <v>381.74368173121564</v>
      </c>
      <c r="AM355" s="476">
        <f>CHOOSE($B$3,#REF!,#REF!,#REF!,#REF!,#REF!,#REF!,#REF!,#REF!,#REF!,#REF!,SPD!AM355,#REF!,#REF!,#REF!)</f>
        <v>422.12102735578259</v>
      </c>
      <c r="AN355" s="476">
        <f>CHOOSE($B$3,#REF!,#REF!,#REF!,#REF!,#REF!,#REF!,#REF!,#REF!,#REF!,#REF!,SPD!AN355,#REF!,#REF!,#REF!)</f>
        <v>418.91002804350404</v>
      </c>
      <c r="AO355" s="476">
        <f>CHOOSE($B$3,#REF!,#REF!,#REF!,#REF!,#REF!,#REF!,#REF!,#REF!,#REF!,#REF!,SPD!AO355,#REF!,#REF!,#REF!)</f>
        <v>438.53533338917987</v>
      </c>
      <c r="AP355" s="476">
        <f>CHOOSE($B$3,#REF!,#REF!,#REF!,#REF!,#REF!,#REF!,#REF!,#REF!,#REF!,#REF!,SPD!AP355,#REF!,#REF!,#REF!)</f>
        <v>429.48435268814097</v>
      </c>
      <c r="AQ355" s="477">
        <f>CHOOSE($B$3,#REF!,#REF!,#REF!,#REF!,#REF!,#REF!,#REF!,#REF!,#REF!,#REF!,SPD!AQ355,#REF!,#REF!,#REF!)</f>
        <v>526.5732407258464</v>
      </c>
      <c r="AR355" s="184"/>
      <c r="AS355" s="184"/>
      <c r="AT355" s="184"/>
      <c r="AU355" s="184"/>
      <c r="AV355" s="184"/>
      <c r="AW355" s="184"/>
    </row>
    <row r="356" spans="1:49" ht="16">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CHOOSE($B$3,#REF!,#REF!,#REF!,#REF!,#REF!,#REF!,#REF!,#REF!,#REF!,#REF!,SPD!AJ356,#REF!,#REF!,#REF!)</f>
        <v>0.5</v>
      </c>
      <c r="AK356" s="476">
        <f>CHOOSE($B$3,#REF!,#REF!,#REF!,#REF!,#REF!,#REF!,#REF!,#REF!,#REF!,#REF!,SPD!AK356,#REF!,#REF!,#REF!)</f>
        <v>0.33561643835616445</v>
      </c>
      <c r="AL356" s="476">
        <f>CHOOSE($B$3,#REF!,#REF!,#REF!,#REF!,#REF!,#REF!,#REF!,#REF!,#REF!,#REF!,SPD!AL356,#REF!,#REF!,#REF!)</f>
        <v>0.35273972602739728</v>
      </c>
      <c r="AM356" s="476">
        <f>CHOOSE($B$3,#REF!,#REF!,#REF!,#REF!,#REF!,#REF!,#REF!,#REF!,#REF!,#REF!,SPD!AM356,#REF!,#REF!,#REF!)</f>
        <v>0.66575342465753418</v>
      </c>
      <c r="AN356" s="476">
        <f>CHOOSE($B$3,#REF!,#REF!,#REF!,#REF!,#REF!,#REF!,#REF!,#REF!,#REF!,#REF!,SPD!AN356,#REF!,#REF!,#REF!)</f>
        <v>0.71598360655737692</v>
      </c>
      <c r="AO356" s="476">
        <f>CHOOSE($B$3,#REF!,#REF!,#REF!,#REF!,#REF!,#REF!,#REF!,#REF!,#REF!,#REF!,SPD!AO356,#REF!,#REF!,#REF!)</f>
        <v>0.1</v>
      </c>
      <c r="AP356" s="476">
        <f>CHOOSE($B$3,#REF!,#REF!,#REF!,#REF!,#REF!,#REF!,#REF!,#REF!,#REF!,#REF!,SPD!AP356,#REF!,#REF!,#REF!)</f>
        <v>0.19</v>
      </c>
      <c r="AQ356" s="477">
        <f>CHOOSE($B$3,#REF!,#REF!,#REF!,#REF!,#REF!,#REF!,#REF!,#REF!,#REF!,#REF!,SPD!AQ356,#REF!,#REF!,#REF!)</f>
        <v>2.3034246575342463</v>
      </c>
      <c r="AR356" s="419">
        <f>CHOOSE($B$3,#REF!,#REF!,#REF!,#REF!,#REF!,#REF!,#REF!,#REF!,#REF!,#REF!,SPD!AR356,#REF!,#REF!,#REF!)</f>
        <v>0</v>
      </c>
      <c r="AS356" s="184"/>
      <c r="AT356" s="184"/>
      <c r="AU356" s="184"/>
      <c r="AV356" s="184"/>
      <c r="AW356" s="184"/>
    </row>
    <row r="357" spans="1:49" ht="16">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CHOOSE($B$3,#REF!,#REF!,#REF!,#REF!,#REF!,#REF!,#REF!,#REF!,#REF!,#REF!,SPD!AJ357,#REF!,#REF!,#REF!)</f>
        <v>0</v>
      </c>
      <c r="AK357" s="476">
        <f>CHOOSE($B$3,#REF!,#REF!,#REF!,#REF!,#REF!,#REF!,#REF!,#REF!,#REF!,#REF!,SPD!AK357,#REF!,#REF!,#REF!)</f>
        <v>0</v>
      </c>
      <c r="AL357" s="476">
        <f>CHOOSE($B$3,#REF!,#REF!,#REF!,#REF!,#REF!,#REF!,#REF!,#REF!,#REF!,#REF!,SPD!AL357,#REF!,#REF!,#REF!)</f>
        <v>0</v>
      </c>
      <c r="AM357" s="476">
        <f>CHOOSE($B$3,#REF!,#REF!,#REF!,#REF!,#REF!,#REF!,#REF!,#REF!,#REF!,#REF!,SPD!AM357,#REF!,#REF!,#REF!)</f>
        <v>0</v>
      </c>
      <c r="AN357" s="476">
        <f>CHOOSE($B$3,#REF!,#REF!,#REF!,#REF!,#REF!,#REF!,#REF!,#REF!,#REF!,#REF!,SPD!AN357,#REF!,#REF!,#REF!)</f>
        <v>0</v>
      </c>
      <c r="AO357" s="476">
        <f>CHOOSE($B$3,#REF!,#REF!,#REF!,#REF!,#REF!,#REF!,#REF!,#REF!,#REF!,#REF!,SPD!AO357,#REF!,#REF!,#REF!)</f>
        <v>0</v>
      </c>
      <c r="AP357" s="476">
        <f>CHOOSE($B$3,#REF!,#REF!,#REF!,#REF!,#REF!,#REF!,#REF!,#REF!,#REF!,#REF!,SPD!AP357,#REF!,#REF!,#REF!)</f>
        <v>0</v>
      </c>
      <c r="AQ357" s="477">
        <f>CHOOSE($B$3,#REF!,#REF!,#REF!,#REF!,#REF!,#REF!,#REF!,#REF!,#REF!,#REF!,SPD!AQ357,#REF!,#REF!,#REF!)</f>
        <v>0</v>
      </c>
      <c r="AR357" s="184"/>
      <c r="AS357" s="184"/>
      <c r="AT357" s="184"/>
      <c r="AU357" s="184"/>
      <c r="AV357" s="184"/>
      <c r="AW357" s="184"/>
    </row>
    <row r="358" spans="1:49" ht="16">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
      <c r="A359" s="82"/>
      <c r="B359" s="82"/>
      <c r="C359" s="82"/>
      <c r="D359" s="82"/>
      <c r="E359" s="363" t="s">
        <v>426</v>
      </c>
      <c r="F359" s="82"/>
      <c r="G359" s="82" t="s">
        <v>298</v>
      </c>
      <c r="H359" s="509"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CHOOSE($B$3,#REF!,#REF!,#REF!,#REF!,#REF!,#REF!,#REF!,#REF!,#REF!,#REF!,SPD!AR359,#REF!,#REF!,#REF!)</f>
        <v>0</v>
      </c>
      <c r="AS359" s="419">
        <f>CHOOSE($B$3,#REF!,#REF!,#REF!,#REF!,#REF!,#REF!,#REF!,#REF!,#REF!,#REF!,SPD!AS359,#REF!,#REF!,#REF!)</f>
        <v>0</v>
      </c>
      <c r="AT359" s="419">
        <f>CHOOSE($B$3,#REF!,#REF!,#REF!,#REF!,#REF!,#REF!,#REF!,#REF!,#REF!,#REF!,SPD!AT359,#REF!,#REF!,#REF!)</f>
        <v>0</v>
      </c>
      <c r="AU359" s="419">
        <f>CHOOSE($B$3,#REF!,#REF!,#REF!,#REF!,#REF!,#REF!,#REF!,#REF!,#REF!,#REF!,SPD!AU359,#REF!,#REF!,#REF!)</f>
        <v>0</v>
      </c>
      <c r="AV359" s="419">
        <f>CHOOSE($B$3,#REF!,#REF!,#REF!,#REF!,#REF!,#REF!,#REF!,#REF!,#REF!,#REF!,SPD!AV359,#REF!,#REF!,#REF!)</f>
        <v>0</v>
      </c>
      <c r="AW359" s="184"/>
    </row>
    <row r="360" spans="1:49" ht="16">
      <c r="A360" s="82"/>
      <c r="B360" s="82"/>
      <c r="C360" s="82"/>
      <c r="D360" s="82"/>
      <c r="E360" s="363" t="s">
        <v>428</v>
      </c>
      <c r="F360" s="82"/>
      <c r="G360" s="82" t="s">
        <v>298</v>
      </c>
      <c r="H360" s="509"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CHOOSE($B$3,#REF!,#REF!,#REF!,#REF!,#REF!,#REF!,#REF!,#REF!,#REF!,#REF!,SPD!AR360,#REF!,#REF!,#REF!)</f>
        <v>0</v>
      </c>
      <c r="AS360" s="419">
        <f>CHOOSE($B$3,#REF!,#REF!,#REF!,#REF!,#REF!,#REF!,#REF!,#REF!,#REF!,#REF!,SPD!AS360,#REF!,#REF!,#REF!)</f>
        <v>0</v>
      </c>
      <c r="AT360" s="419">
        <f>CHOOSE($B$3,#REF!,#REF!,#REF!,#REF!,#REF!,#REF!,#REF!,#REF!,#REF!,#REF!,SPD!AT360,#REF!,#REF!,#REF!)</f>
        <v>0</v>
      </c>
      <c r="AU360" s="419">
        <f>CHOOSE($B$3,#REF!,#REF!,#REF!,#REF!,#REF!,#REF!,#REF!,#REF!,#REF!,#REF!,SPD!AU360,#REF!,#REF!,#REF!)</f>
        <v>0</v>
      </c>
      <c r="AV360" s="419">
        <f>CHOOSE($B$3,#REF!,#REF!,#REF!,#REF!,#REF!,#REF!,#REF!,#REF!,#REF!,#REF!,SPD!AV360,#REF!,#REF!,#REF!)</f>
        <v>0</v>
      </c>
      <c r="AW360" s="184"/>
    </row>
    <row r="361" spans="1:49" ht="16">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CHOOSE($B$3,#REF!,#REF!,#REF!,#REF!,#REF!,#REF!,#REF!,#REF!,#REF!,#REF!,SPD!AJ362,#REF!,#REF!,#REF!)</f>
        <v>2.5300000000000001E-3</v>
      </c>
      <c r="AK362" s="476">
        <f>CHOOSE($B$3,#REF!,#REF!,#REF!,#REF!,#REF!,#REF!,#REF!,#REF!,#REF!,#REF!,SPD!AK362,#REF!,#REF!,#REF!)</f>
        <v>7.92E-3</v>
      </c>
      <c r="AL362" s="476">
        <f>CHOOSE($B$3,#REF!,#REF!,#REF!,#REF!,#REF!,#REF!,#REF!,#REF!,#REF!,#REF!,SPD!AL362,#REF!,#REF!,#REF!)</f>
        <v>6.0000000000000001E-3</v>
      </c>
      <c r="AM362" s="476">
        <f>CHOOSE($B$3,#REF!,#REF!,#REF!,#REF!,#REF!,#REF!,#REF!,#REF!,#REF!,#REF!,SPD!AM362,#REF!,#REF!,#REF!)</f>
        <v>4.7064999999999996E-2</v>
      </c>
      <c r="AN362" s="476">
        <f>CHOOSE($B$3,#REF!,#REF!,#REF!,#REF!,#REF!,#REF!,#REF!,#REF!,#REF!,#REF!,SPD!AN362,#REF!,#REF!,#REF!)</f>
        <v>2.5995000000000001E-2</v>
      </c>
      <c r="AO362" s="476">
        <f>CHOOSE($B$3,#REF!,#REF!,#REF!,#REF!,#REF!,#REF!,#REF!,#REF!,#REF!,#REF!,SPD!AO362,#REF!,#REF!,#REF!)</f>
        <v>1.4789999999999999E-2</v>
      </c>
      <c r="AP362" s="476">
        <f>CHOOSE($B$3,#REF!,#REF!,#REF!,#REF!,#REF!,#REF!,#REF!,#REF!,#REF!,#REF!,SPD!AP362,#REF!,#REF!,#REF!)</f>
        <v>2.6445E-2</v>
      </c>
      <c r="AQ362" s="477">
        <f>CHOOSE($B$3,#REF!,#REF!,#REF!,#REF!,#REF!,#REF!,#REF!,#REF!,#REF!,#REF!,SPD!AQ362,#REF!,#REF!,#REF!)</f>
        <v>0.19011499999999998</v>
      </c>
      <c r="AR362" s="184"/>
      <c r="AS362" s="184"/>
      <c r="AT362" s="184"/>
      <c r="AU362" s="184"/>
      <c r="AV362" s="184"/>
      <c r="AW362" s="184"/>
    </row>
    <row r="363" spans="1:49" ht="16">
      <c r="A363" s="82"/>
      <c r="B363" s="82"/>
      <c r="C363" s="82"/>
      <c r="D363" s="82"/>
      <c r="E363" s="363" t="s">
        <v>433</v>
      </c>
      <c r="F363" s="82"/>
      <c r="G363" s="82" t="s">
        <v>394</v>
      </c>
      <c r="H363" s="82" t="s">
        <v>434</v>
      </c>
      <c r="I363" s="476">
        <f>CHOOSE($B$3,#REF!,#REF!,#REF!,#REF!,#REF!,#REF!,#REF!,#REF!,#REF!,#REF!,SPD!I363,#REF!,#REF!,#REF!)</f>
        <v>43</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CHOOSE($B$3,#REF!,#REF!,#REF!,#REF!,#REF!,#REF!,#REF!,#REF!,#REF!,#REF!,SPD!AP367,#REF!,#REF!,#REF!)</f>
        <v>2.9778065564794178</v>
      </c>
      <c r="AQ367" s="477">
        <f>CHOOSE($B$3,#REF!,#REF!,#REF!,#REF!,#REF!,#REF!,#REF!,#REF!,#REF!,#REF!,SPD!AQ367,#REF!,#REF!,#REF!)</f>
        <v>3.1</v>
      </c>
      <c r="AR367" s="364"/>
      <c r="AS367" s="184"/>
      <c r="AT367" s="184"/>
      <c r="AU367" s="184"/>
      <c r="AV367" s="184"/>
      <c r="AW367" s="184"/>
    </row>
    <row r="368" spans="1:49" ht="16">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CHOOSE($B$3,#REF!,#REF!,#REF!,#REF!,#REF!,#REF!,#REF!,#REF!,#REF!,#REF!,SPD!AP368,#REF!,#REF!,#REF!)</f>
        <v>0</v>
      </c>
      <c r="AQ368" s="477">
        <f>CHOOSE($B$3,#REF!,#REF!,#REF!,#REF!,#REF!,#REF!,#REF!,#REF!,#REF!,#REF!,SPD!AQ368,#REF!,#REF!,#REF!)</f>
        <v>0</v>
      </c>
      <c r="AR368" s="364"/>
      <c r="AS368" s="184"/>
      <c r="AT368" s="184"/>
      <c r="AU368" s="184"/>
      <c r="AV368" s="184"/>
      <c r="AW368" s="184"/>
    </row>
    <row r="369" spans="1:49" ht="16">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CHOOSE($B$3,#REF!,#REF!,#REF!,#REF!,#REF!,#REF!,#REF!,#REF!,#REF!,#REF!,SPD!AP369,#REF!,#REF!,#REF!)</f>
        <v>0.41199999999999998</v>
      </c>
      <c r="AQ369" s="477">
        <f>CHOOSE($B$3,#REF!,#REF!,#REF!,#REF!,#REF!,#REF!,#REF!,#REF!,#REF!,#REF!,SPD!AQ369,#REF!,#REF!,#REF!)</f>
        <v>0</v>
      </c>
      <c r="AR369" s="364"/>
      <c r="AS369" s="184"/>
      <c r="AT369" s="184"/>
      <c r="AU369" s="184"/>
      <c r="AV369" s="184"/>
      <c r="AW369" s="184"/>
    </row>
    <row r="370" spans="1:49" ht="16">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CHOOSE($B$3,#REF!,#REF!,#REF!,#REF!,#REF!,#REF!,#REF!,#REF!,#REF!,#REF!,SPD!AP371,#REF!,#REF!,#REF!)</f>
        <v>9.2764180650742869</v>
      </c>
      <c r="AQ371" s="477">
        <f>CHOOSE($B$3,#REF!,#REF!,#REF!,#REF!,#REF!,#REF!,#REF!,#REF!,#REF!,#REF!,SPD!AQ371,#REF!,#REF!,#REF!)</f>
        <v>9.9076516067560423</v>
      </c>
      <c r="AR371" s="364"/>
      <c r="AS371" s="184"/>
      <c r="AT371" s="184"/>
      <c r="AU371" s="184"/>
      <c r="AV371" s="184"/>
      <c r="AW371" s="184"/>
    </row>
    <row r="372" spans="1:49" ht="16">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CHOOSE($B$3,#REF!,#REF!,#REF!,#REF!,#REF!,#REF!,#REF!,#REF!,#REF!,#REF!,SPD!AP372,#REF!,#REF!,#REF!)</f>
        <v>0</v>
      </c>
      <c r="AQ372" s="477">
        <f>CHOOSE($B$3,#REF!,#REF!,#REF!,#REF!,#REF!,#REF!,#REF!,#REF!,#REF!,#REF!,SPD!AQ372,#REF!,#REF!,#REF!)</f>
        <v>0</v>
      </c>
      <c r="AR372" s="364"/>
      <c r="AS372" s="184"/>
      <c r="AT372" s="184"/>
      <c r="AU372" s="184"/>
      <c r="AV372" s="184"/>
      <c r="AW372" s="184"/>
    </row>
    <row r="373" spans="1:49" ht="16">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CHOOSE($B$3,#REF!,#REF!,#REF!,#REF!,#REF!,#REF!,#REF!,#REF!,#REF!,#REF!,SPD!AP373,#REF!,#REF!,#REF!)</f>
        <v>0</v>
      </c>
      <c r="AQ373" s="477">
        <f>CHOOSE($B$3,#REF!,#REF!,#REF!,#REF!,#REF!,#REF!,#REF!,#REF!,#REF!,#REF!,SPD!AQ373,#REF!,#REF!,#REF!)</f>
        <v>0</v>
      </c>
      <c r="AR373" s="364"/>
      <c r="AS373" s="184"/>
      <c r="AT373" s="184"/>
      <c r="AU373" s="184"/>
      <c r="AV373" s="184"/>
      <c r="AW373" s="184"/>
    </row>
    <row r="374" spans="1:49" ht="16">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CHOOSE($B$3,#REF!,#REF!,#REF!,#REF!,#REF!,#REF!,#REF!,#REF!,#REF!,#REF!,SPD!AO375,#REF!,#REF!,#REF!)</f>
        <v>0</v>
      </c>
      <c r="AP375" s="419">
        <f>CHOOSE($B$3,#REF!,#REF!,#REF!,#REF!,#REF!,#REF!,#REF!,#REF!,#REF!,#REF!,SPD!AP375,#REF!,#REF!,#REF!)</f>
        <v>0</v>
      </c>
      <c r="AQ375" s="418">
        <f>CHOOSE($B$3,#REF!,#REF!,#REF!,#REF!,#REF!,#REF!,#REF!,#REF!,#REF!,#REF!,SPD!AQ375,#REF!,#REF!,#REF!)</f>
        <v>0</v>
      </c>
      <c r="AR375" s="364"/>
      <c r="AS375" s="184"/>
      <c r="AT375" s="184"/>
      <c r="AU375" s="184"/>
      <c r="AV375" s="184"/>
      <c r="AW375" s="184"/>
    </row>
    <row r="376" spans="1:49" ht="16">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CHOOSE($B$3,#REF!,#REF!,#REF!,#REF!,#REF!,#REF!,#REF!,#REF!,#REF!,#REF!,SPD!AP377,#REF!,#REF!,#REF!)</f>
        <v>0.17924521810699581</v>
      </c>
      <c r="AQ377" s="477">
        <f>CHOOSE($B$3,#REF!,#REF!,#REF!,#REF!,#REF!,#REF!,#REF!,#REF!,#REF!,#REF!,SPD!AQ377,#REF!,#REF!,#REF!)</f>
        <v>0</v>
      </c>
      <c r="AR377" s="364"/>
      <c r="AS377" s="184"/>
      <c r="AT377" s="184"/>
      <c r="AU377" s="184"/>
      <c r="AV377" s="184"/>
      <c r="AW377" s="184"/>
    </row>
    <row r="378" spans="1:49" ht="16">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CHOOSE($B$3,#REF!,#REF!,#REF!,#REF!,#REF!,#REF!,#REF!,#REF!,#REF!,#REF!,SPD!AP378,#REF!,#REF!,#REF!)</f>
        <v>6.2918142857142853E-2</v>
      </c>
      <c r="AQ378" s="477">
        <f>CHOOSE($B$3,#REF!,#REF!,#REF!,#REF!,#REF!,#REF!,#REF!,#REF!,#REF!,#REF!,SPD!AQ378,#REF!,#REF!,#REF!)</f>
        <v>0</v>
      </c>
      <c r="AR378" s="364"/>
      <c r="AS378" s="184"/>
      <c r="AT378" s="184"/>
      <c r="AU378" s="184"/>
      <c r="AV378" s="184"/>
      <c r="AW378" s="184"/>
    </row>
    <row r="379" spans="1:49" ht="16">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CHOOSE($B$3,#REF!,#REF!,#REF!,#REF!,#REF!,#REF!,#REF!,#REF!,#REF!,#REF!,SPD!AP379,#REF!,#REF!,#REF!)</f>
        <v>0.12835590379746831</v>
      </c>
      <c r="AQ379" s="477">
        <f>CHOOSE($B$3,#REF!,#REF!,#REF!,#REF!,#REF!,#REF!,#REF!,#REF!,#REF!,#REF!,SPD!AQ379,#REF!,#REF!,#REF!)</f>
        <v>0.18356650157480323</v>
      </c>
      <c r="AR379" s="364"/>
      <c r="AS379" s="184"/>
      <c r="AT379" s="184"/>
      <c r="AU379" s="184"/>
      <c r="AV379" s="184"/>
      <c r="AW379" s="184"/>
    </row>
    <row r="380" spans="1:49" ht="16">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CHOOSE($B$3,#REF!,#REF!,#REF!,#REF!,#REF!,#REF!,#REF!,#REF!,#REF!,#REF!,SPD!AP380,#REF!,#REF!,#REF!)</f>
        <v>0.1793547533225284</v>
      </c>
      <c r="AQ380" s="477">
        <f>CHOOSE($B$3,#REF!,#REF!,#REF!,#REF!,#REF!,#REF!,#REF!,#REF!,#REF!,#REF!,SPD!AQ380,#REF!,#REF!,#REF!)</f>
        <v>0.28926906929133861</v>
      </c>
      <c r="AR380" s="364"/>
      <c r="AS380" s="184"/>
      <c r="AT380" s="184"/>
      <c r="AU380" s="184"/>
      <c r="AV380" s="184"/>
      <c r="AW380" s="184"/>
    </row>
    <row r="381" spans="1:49" ht="16">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CHOOSE($B$3,#REF!,#REF!,#REF!,#REF!,#REF!,#REF!,#REF!,#REF!,#REF!,#REF!,SPD!AP384,#REF!,#REF!,#REF!)</f>
        <v>1.9773689999999999</v>
      </c>
      <c r="AQ384" s="477">
        <f>CHOOSE($B$3,#REF!,#REF!,#REF!,#REF!,#REF!,#REF!,#REF!,#REF!,#REF!,#REF!,SPD!AQ384,#REF!,#REF!,#REF!)</f>
        <v>2.0779999999999998</v>
      </c>
      <c r="AR384" s="364"/>
      <c r="AS384" s="184"/>
      <c r="AT384" s="184"/>
      <c r="AU384" s="184"/>
      <c r="AV384" s="184"/>
      <c r="AW384" s="184"/>
    </row>
    <row r="385" spans="1:49" ht="16">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CHOOSE($B$3,#REF!,#REF!,#REF!,#REF!,#REF!,#REF!,#REF!,#REF!,#REF!,#REF!,SPD!AP385,#REF!,#REF!,#REF!)</f>
        <v>1</v>
      </c>
      <c r="AQ385" s="477">
        <f>CHOOSE($B$3,#REF!,#REF!,#REF!,#REF!,#REF!,#REF!,#REF!,#REF!,#REF!,#REF!,SPD!AQ385,#REF!,#REF!,#REF!)</f>
        <v>1</v>
      </c>
      <c r="AR385" s="364"/>
      <c r="AS385" s="184"/>
      <c r="AT385" s="184"/>
      <c r="AU385" s="184"/>
      <c r="AV385" s="184"/>
      <c r="AW385" s="184"/>
    </row>
    <row r="386" spans="1:49" ht="16">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CHOOSE($B$3,#REF!,#REF!,#REF!,#REF!,#REF!,#REF!,#REF!,#REF!,#REF!,#REF!,SPD!AP387,#REF!,#REF!,#REF!)</f>
        <v>36.578758150000006</v>
      </c>
      <c r="AQ387" s="477">
        <f>CHOOSE($B$3,#REF!,#REF!,#REF!,#REF!,#REF!,#REF!,#REF!,#REF!,#REF!,#REF!,SPD!AQ387,#REF!,#REF!,#REF!)</f>
        <v>37.1232592</v>
      </c>
      <c r="AR387" s="364"/>
      <c r="AS387" s="184"/>
      <c r="AT387" s="184"/>
      <c r="AU387" s="184"/>
      <c r="AV387" s="184"/>
      <c r="AW387" s="184"/>
    </row>
    <row r="388" spans="1:49" ht="16">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CHOOSE($B$3,#REF!,#REF!,#REF!,#REF!,#REF!,#REF!,#REF!,#REF!,#REF!,#REF!,SPD!AP388,#REF!,#REF!,#REF!)</f>
        <v>39.299999999999997</v>
      </c>
      <c r="AQ388" s="477">
        <f>CHOOSE($B$3,#REF!,#REF!,#REF!,#REF!,#REF!,#REF!,#REF!,#REF!,#REF!,#REF!,SPD!AQ388,#REF!,#REF!,#REF!)</f>
        <v>39.299999999999997</v>
      </c>
      <c r="AR388" s="364"/>
      <c r="AS388" s="184"/>
      <c r="AT388" s="184"/>
      <c r="AU388" s="184"/>
      <c r="AV388" s="184"/>
      <c r="AW388" s="184"/>
    </row>
    <row r="389" spans="1:49" ht="16">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CHOOSE($B$3,#REF!,#REF!,#REF!,#REF!,#REF!,#REF!,#REF!,#REF!,#REF!,#REF!,SPD!AP390,#REF!,#REF!,#REF!)</f>
        <v>21.446964000000001</v>
      </c>
      <c r="AQ390" s="477">
        <f>CHOOSE($B$3,#REF!,#REF!,#REF!,#REF!,#REF!,#REF!,#REF!,#REF!,#REF!,#REF!,SPD!AQ390,#REF!,#REF!,#REF!)</f>
        <v>22.565357879683813</v>
      </c>
      <c r="AR390" s="364"/>
      <c r="AS390" s="184"/>
      <c r="AT390" s="184"/>
      <c r="AU390" s="184"/>
      <c r="AV390" s="184"/>
      <c r="AW390" s="184"/>
    </row>
    <row r="391" spans="1:49" ht="16">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CHOOSE($B$3,#REF!,#REF!,#REF!,#REF!,#REF!,#REF!,#REF!,#REF!,#REF!,#REF!,SPD!AP391,#REF!,#REF!,#REF!)</f>
        <v>21.8</v>
      </c>
      <c r="AQ391" s="477">
        <f>CHOOSE($B$3,#REF!,#REF!,#REF!,#REF!,#REF!,#REF!,#REF!,#REF!,#REF!,#REF!,SPD!AQ391,#REF!,#REF!,#REF!)</f>
        <v>21.5</v>
      </c>
      <c r="AR391" s="364"/>
      <c r="AS391" s="184"/>
      <c r="AT391" s="184"/>
      <c r="AU391" s="184"/>
      <c r="AV391" s="184"/>
      <c r="AW391" s="184"/>
    </row>
    <row r="392" spans="1:49" ht="16">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CHOOSE($B$3,#REF!,#REF!,#REF!,#REF!,#REF!,#REF!,#REF!,#REF!,#REF!,#REF!,SPD!AP393,#REF!,#REF!,#REF!)</f>
        <v>2.2310092300000002</v>
      </c>
      <c r="AQ393" s="477">
        <f>CHOOSE($B$3,#REF!,#REF!,#REF!,#REF!,#REF!,#REF!,#REF!,#REF!,#REF!,#REF!,SPD!AQ393,#REF!,#REF!,#REF!)</f>
        <v>2.4654400954419997</v>
      </c>
      <c r="AR393" s="364"/>
      <c r="AS393" s="184"/>
      <c r="AT393" s="184"/>
      <c r="AU393" s="184"/>
      <c r="AV393" s="184"/>
      <c r="AW393" s="184"/>
    </row>
    <row r="394" spans="1:49" ht="16">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CHOOSE($B$3,#REF!,#REF!,#REF!,#REF!,#REF!,#REF!,#REF!,#REF!,#REF!,#REF!,SPD!AP394,#REF!,#REF!,#REF!)</f>
        <v>0</v>
      </c>
      <c r="AQ394" s="477">
        <f>CHOOSE($B$3,#REF!,#REF!,#REF!,#REF!,#REF!,#REF!,#REF!,#REF!,#REF!,#REF!,SPD!AQ394,#REF!,#REF!,#REF!)</f>
        <v>0</v>
      </c>
      <c r="AR394" s="364"/>
      <c r="AS394" s="184"/>
      <c r="AT394" s="184"/>
      <c r="AU394" s="184"/>
      <c r="AV394" s="184"/>
      <c r="AW394" s="184"/>
    </row>
    <row r="395" spans="1:49" ht="16">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CHOOSE($B$3,#REF!,#REF!,#REF!,#REF!,#REF!,#REF!,#REF!,#REF!,#REF!,#REF!,SPD!AP396,#REF!,#REF!,#REF!)</f>
        <v>1.3559367199999999</v>
      </c>
      <c r="AQ396" s="477">
        <f>CHOOSE($B$3,#REF!,#REF!,#REF!,#REF!,#REF!,#REF!,#REF!,#REF!,#REF!,#REF!,SPD!AQ396,#REF!,#REF!,#REF!)</f>
        <v>1.3669798720040001</v>
      </c>
      <c r="AR396" s="364"/>
      <c r="AS396" s="184"/>
      <c r="AT396" s="184"/>
      <c r="AU396" s="184"/>
      <c r="AV396" s="184"/>
      <c r="AW396" s="184"/>
    </row>
    <row r="397" spans="1:49" ht="16">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CHOOSE($B$3,#REF!,#REF!,#REF!,#REF!,#REF!,#REF!,#REF!,#REF!,#REF!,#REF!,SPD!AP397,#REF!,#REF!,#REF!)</f>
        <v>0</v>
      </c>
      <c r="AQ397" s="477">
        <f>CHOOSE($B$3,#REF!,#REF!,#REF!,#REF!,#REF!,#REF!,#REF!,#REF!,#REF!,#REF!,SPD!AQ397,#REF!,#REF!,#REF!)</f>
        <v>0</v>
      </c>
      <c r="AR397" s="364"/>
      <c r="AS397" s="184"/>
      <c r="AT397" s="184"/>
      <c r="AU397" s="184"/>
      <c r="AV397" s="184"/>
      <c r="AW397" s="184"/>
    </row>
    <row r="398" spans="1:49" ht="16">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CHOOSE($B$3,#REF!,#REF!,#REF!,#REF!,#REF!,#REF!,#REF!,#REF!,#REF!,#REF!,SPD!AP399,#REF!,#REF!,#REF!)</f>
        <v>0</v>
      </c>
      <c r="AQ399" s="477">
        <f>CHOOSE($B$3,#REF!,#REF!,#REF!,#REF!,#REF!,#REF!,#REF!,#REF!,#REF!,#REF!,SPD!AQ399,#REF!,#REF!,#REF!)</f>
        <v>0</v>
      </c>
      <c r="AR399" s="364"/>
      <c r="AS399" s="184"/>
      <c r="AT399" s="184"/>
      <c r="AU399" s="184"/>
      <c r="AV399" s="184"/>
      <c r="AW399" s="184"/>
    </row>
    <row r="400" spans="1:49" ht="16">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CHOOSE($B$3,#REF!,#REF!,#REF!,#REF!,#REF!,#REF!,#REF!,#REF!,#REF!,#REF!,SPD!AP400,#REF!,#REF!,#REF!)</f>
        <v>0</v>
      </c>
      <c r="AQ400" s="477">
        <f>CHOOSE($B$3,#REF!,#REF!,#REF!,#REF!,#REF!,#REF!,#REF!,#REF!,#REF!,#REF!,SPD!AQ400,#REF!,#REF!,#REF!)</f>
        <v>0</v>
      </c>
      <c r="AR400" s="364"/>
      <c r="AS400" s="184"/>
      <c r="AT400" s="184"/>
      <c r="AU400" s="184"/>
      <c r="AV400" s="184"/>
      <c r="AW400" s="184"/>
    </row>
    <row r="401" spans="1:49" ht="16">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CHOOSE($B$3,#REF!,#REF!,#REF!,#REF!,#REF!,#REF!,#REF!,#REF!,#REF!,#REF!,SPD!AP402,#REF!,#REF!,#REF!)</f>
        <v>0</v>
      </c>
      <c r="AQ402" s="477">
        <f>CHOOSE($B$3,#REF!,#REF!,#REF!,#REF!,#REF!,#REF!,#REF!,#REF!,#REF!,#REF!,SPD!AQ402,#REF!,#REF!,#REF!)</f>
        <v>0</v>
      </c>
      <c r="AR402" s="364"/>
      <c r="AS402" s="184"/>
      <c r="AT402" s="184"/>
      <c r="AU402" s="184"/>
      <c r="AV402" s="184"/>
      <c r="AW402" s="184"/>
    </row>
    <row r="403" spans="1:49" ht="16">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CHOOSE($B$3,#REF!,#REF!,#REF!,#REF!,#REF!,#REF!,#REF!,#REF!,#REF!,#REF!,SPD!AP403,#REF!,#REF!,#REF!)</f>
        <v>0</v>
      </c>
      <c r="AQ403" s="477">
        <f>CHOOSE($B$3,#REF!,#REF!,#REF!,#REF!,#REF!,#REF!,#REF!,#REF!,#REF!,#REF!,SPD!AQ403,#REF!,#REF!,#REF!)</f>
        <v>0</v>
      </c>
      <c r="AR403" s="364"/>
      <c r="AS403" s="184"/>
      <c r="AT403" s="184"/>
      <c r="AU403" s="184"/>
      <c r="AV403" s="184"/>
      <c r="AW403" s="184"/>
    </row>
    <row r="404" spans="1:49" ht="16">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CHOOSE($B$3,#REF!,#REF!,#REF!,#REF!,#REF!,#REF!,#REF!,#REF!,#REF!,#REF!,SPD!AP405,#REF!,#REF!,#REF!)</f>
        <v>0</v>
      </c>
      <c r="AQ405" s="477">
        <f>CHOOSE($B$3,#REF!,#REF!,#REF!,#REF!,#REF!,#REF!,#REF!,#REF!,#REF!,#REF!,SPD!AQ405,#REF!,#REF!,#REF!)</f>
        <v>0</v>
      </c>
      <c r="AR405" s="364"/>
      <c r="AS405" s="184"/>
      <c r="AT405" s="184"/>
      <c r="AU405" s="184"/>
      <c r="AV405" s="184"/>
      <c r="AW405" s="184"/>
    </row>
    <row r="406" spans="1:49" ht="16">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CHOOSE($B$3,#REF!,#REF!,#REF!,#REF!,#REF!,#REF!,#REF!,#REF!,#REF!,#REF!,SPD!AP406,#REF!,#REF!,#REF!)</f>
        <v>0</v>
      </c>
      <c r="AQ406" s="477">
        <f>CHOOSE($B$3,#REF!,#REF!,#REF!,#REF!,#REF!,#REF!,#REF!,#REF!,#REF!,#REF!,SPD!AQ406,#REF!,#REF!,#REF!)</f>
        <v>0</v>
      </c>
      <c r="AR406" s="364"/>
      <c r="AS406" s="184"/>
      <c r="AT406" s="184"/>
      <c r="AU406" s="184"/>
      <c r="AV406" s="184"/>
      <c r="AW406" s="184"/>
    </row>
    <row r="407" spans="1:49" ht="16">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CHOOSE($B$3,#REF!,#REF!,#REF!,#REF!,#REF!,#REF!,#REF!,#REF!,#REF!,#REF!,SPD!AP408,#REF!,#REF!,#REF!)</f>
        <v>0</v>
      </c>
      <c r="AQ408" s="477">
        <f>CHOOSE($B$3,#REF!,#REF!,#REF!,#REF!,#REF!,#REF!,#REF!,#REF!,#REF!,#REF!,SPD!AQ408,#REF!,#REF!,#REF!)</f>
        <v>0</v>
      </c>
      <c r="AR408" s="364"/>
      <c r="AS408" s="184"/>
      <c r="AT408" s="184"/>
      <c r="AU408" s="184"/>
      <c r="AV408" s="184"/>
      <c r="AW408" s="184"/>
    </row>
    <row r="409" spans="1:49" ht="16">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CHOOSE($B$3,#REF!,#REF!,#REF!,#REF!,#REF!,#REF!,#REF!,#REF!,#REF!,#REF!,SPD!AP409,#REF!,#REF!,#REF!)</f>
        <v>0</v>
      </c>
      <c r="AQ409" s="477">
        <f>CHOOSE($B$3,#REF!,#REF!,#REF!,#REF!,#REF!,#REF!,#REF!,#REF!,#REF!,#REF!,SPD!AQ409,#REF!,#REF!,#REF!)</f>
        <v>0</v>
      </c>
      <c r="AR409" s="364"/>
      <c r="AS409" s="184"/>
      <c r="AT409" s="184"/>
      <c r="AU409" s="184"/>
      <c r="AV409" s="184"/>
      <c r="AW409" s="184"/>
    </row>
    <row r="410" spans="1:49" ht="16">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CHOOSE($B$3,#REF!,#REF!,#REF!,#REF!,#REF!,#REF!,#REF!,#REF!,#REF!,#REF!,SPD!AP411,#REF!,#REF!,#REF!)</f>
        <v>0.86829281000000003</v>
      </c>
      <c r="AQ411" s="477">
        <f>CHOOSE($B$3,#REF!,#REF!,#REF!,#REF!,#REF!,#REF!,#REF!,#REF!,#REF!,#REF!,SPD!AQ411,#REF!,#REF!,#REF!)</f>
        <v>1.3081697499999905</v>
      </c>
      <c r="AR411" s="364"/>
      <c r="AS411" s="184"/>
      <c r="AT411" s="184"/>
      <c r="AU411" s="184"/>
      <c r="AV411" s="184"/>
      <c r="AW411" s="184"/>
    </row>
    <row r="412" spans="1:49" ht="16">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CHOOSE($B$3,#REF!,#REF!,#REF!,#REF!,#REF!,#REF!,#REF!,#REF!,#REF!,#REF!,SPD!AO413,#REF!,#REF!,#REF!)</f>
        <v>0.92268770833333325</v>
      </c>
      <c r="AP413" s="476">
        <f>CHOOSE($B$3,#REF!,#REF!,#REF!,#REF!,#REF!,#REF!,#REF!,#REF!,#REF!,#REF!,SPD!AP413,#REF!,#REF!,#REF!)</f>
        <v>1.8407718500000003</v>
      </c>
      <c r="AQ413" s="477">
        <f>CHOOSE($B$3,#REF!,#REF!,#REF!,#REF!,#REF!,#REF!,#REF!,#REF!,#REF!,#REF!,SPD!AQ413,#REF!,#REF!,#REF!)</f>
        <v>3.8819858333333332E-2</v>
      </c>
      <c r="AR413" s="145"/>
      <c r="AS413" s="184"/>
      <c r="AT413" s="184"/>
      <c r="AU413" s="184"/>
      <c r="AV413" s="184"/>
      <c r="AW413" s="184"/>
    </row>
    <row r="414" spans="1:49" ht="16">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CHOOSE($B$3,#REF!,#REF!,#REF!,#REF!,#REF!,#REF!,#REF!,#REF!,#REF!,#REF!,SPD!AO414,#REF!,#REF!,#REF!)</f>
        <v>0</v>
      </c>
      <c r="AP414" s="476">
        <f>CHOOSE($B$3,#REF!,#REF!,#REF!,#REF!,#REF!,#REF!,#REF!,#REF!,#REF!,#REF!,SPD!AP414,#REF!,#REF!,#REF!)</f>
        <v>0</v>
      </c>
      <c r="AQ414" s="477">
        <f>CHOOSE($B$3,#REF!,#REF!,#REF!,#REF!,#REF!,#REF!,#REF!,#REF!,#REF!,#REF!,SPD!AQ414,#REF!,#REF!,#REF!)</f>
        <v>-7.6545141666666663E-2</v>
      </c>
      <c r="AR414" s="145"/>
      <c r="AS414" s="184"/>
      <c r="AT414" s="184"/>
      <c r="AU414" s="184"/>
      <c r="AV414" s="184"/>
      <c r="AW414" s="184"/>
    </row>
    <row r="415" spans="1:49" ht="16">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CHOOSE($B$3,#REF!,#REF!,#REF!,#REF!,#REF!,#REF!,#REF!,#REF!,#REF!,#REF!,SPD!AP416,#REF!,#REF!,#REF!)</f>
        <v>0</v>
      </c>
      <c r="AQ416" s="477">
        <f>CHOOSE($B$3,#REF!,#REF!,#REF!,#REF!,#REF!,#REF!,#REF!,#REF!,#REF!,#REF!,SPD!AQ416,#REF!,#REF!,#REF!)</f>
        <v>0</v>
      </c>
      <c r="AR416" s="145"/>
      <c r="AS416" s="184"/>
      <c r="AT416" s="184"/>
      <c r="AU416" s="184"/>
      <c r="AV416" s="184"/>
      <c r="AW416" s="184"/>
    </row>
    <row r="417" spans="1:49" ht="16">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CHOOSE($B$3,#REF!,#REF!,#REF!,#REF!,#REF!,#REF!,#REF!,#REF!,#REF!,#REF!,SPD!AP417,#REF!,#REF!,#REF!)</f>
        <v>0</v>
      </c>
      <c r="AQ417" s="477">
        <f>CHOOSE($B$3,#REF!,#REF!,#REF!,#REF!,#REF!,#REF!,#REF!,#REF!,#REF!,#REF!,SPD!AQ417,#REF!,#REF!,#REF!)</f>
        <v>0</v>
      </c>
      <c r="AR417" s="145"/>
      <c r="AS417" s="184"/>
      <c r="AT417" s="184"/>
      <c r="AU417" s="184"/>
      <c r="AV417" s="184"/>
      <c r="AW417" s="184"/>
    </row>
    <row r="418" spans="1:49" ht="16">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CHOOSE($B$3,#REF!,#REF!,#REF!,#REF!,#REF!,#REF!,#REF!,#REF!,#REF!,#REF!,SPD!AP418,#REF!,#REF!,#REF!)</f>
        <v>0</v>
      </c>
      <c r="AQ418" s="477">
        <f>CHOOSE($B$3,#REF!,#REF!,#REF!,#REF!,#REF!,#REF!,#REF!,#REF!,#REF!,#REF!,SPD!AQ418,#REF!,#REF!,#REF!)</f>
        <v>0</v>
      </c>
      <c r="AR418" s="145"/>
      <c r="AS418" s="184"/>
      <c r="AT418" s="184"/>
      <c r="AU418" s="184"/>
      <c r="AV418" s="184"/>
      <c r="AW418" s="184"/>
    </row>
    <row r="419" spans="1:49" ht="16">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19" priority="46" operator="equal">
      <formula>FALSE()</formula>
    </cfRule>
  </conditionalFormatting>
  <conditionalFormatting sqref="I363">
    <cfRule type="cellIs" dxfId="118" priority="18" operator="equal">
      <formula>FALSE()</formula>
    </cfRule>
  </conditionalFormatting>
  <conditionalFormatting sqref="K211:AQ217 AW211:AW217">
    <cfRule type="cellIs" dxfId="117" priority="43" operator="equal">
      <formula>FALSE()</formula>
    </cfRule>
  </conditionalFormatting>
  <conditionalFormatting sqref="K8:AW210">
    <cfRule type="cellIs" dxfId="116" priority="33" operator="equal">
      <formula>FALSE()</formula>
    </cfRule>
  </conditionalFormatting>
  <conditionalFormatting sqref="K218:AW419">
    <cfRule type="cellIs" dxfId="115" priority="1" operator="equal">
      <formula>FALSE()</formula>
    </cfRule>
  </conditionalFormatting>
  <conditionalFormatting sqref="AQ351:AQ352">
    <cfRule type="cellIs" dxfId="114" priority="21" operator="equal">
      <formula>FALSE()</formula>
    </cfRule>
  </conditionalFormatting>
  <conditionalFormatting sqref="AQ354:AQ357">
    <cfRule type="cellIs" dxfId="113" priority="20" operator="equal">
      <formula>FALSE()</formula>
    </cfRule>
  </conditionalFormatting>
  <conditionalFormatting sqref="AQ362">
    <cfRule type="cellIs" dxfId="112" priority="19" operator="equal">
      <formula>FALSE()</formula>
    </cfRule>
  </conditionalFormatting>
  <conditionalFormatting sqref="AQ367:AQ369">
    <cfRule type="cellIs" dxfId="111" priority="17" operator="equal">
      <formula>FALSE()</formula>
    </cfRule>
  </conditionalFormatting>
  <conditionalFormatting sqref="AQ371:AQ373">
    <cfRule type="cellIs" dxfId="110" priority="16" operator="equal">
      <formula>FALSE()</formula>
    </cfRule>
  </conditionalFormatting>
  <conditionalFormatting sqref="AQ377:AQ380">
    <cfRule type="cellIs" dxfId="109" priority="14" operator="equal">
      <formula>FALSE()</formula>
    </cfRule>
  </conditionalFormatting>
  <conditionalFormatting sqref="AQ384:AQ385">
    <cfRule type="cellIs" dxfId="108" priority="13" operator="equal">
      <formula>FALSE()</formula>
    </cfRule>
  </conditionalFormatting>
  <conditionalFormatting sqref="AQ387:AQ388">
    <cfRule type="cellIs" dxfId="107" priority="12" operator="equal">
      <formula>FALSE()</formula>
    </cfRule>
  </conditionalFormatting>
  <conditionalFormatting sqref="AQ390:AQ391">
    <cfRule type="cellIs" dxfId="106" priority="11" operator="equal">
      <formula>FALSE()</formula>
    </cfRule>
  </conditionalFormatting>
  <conditionalFormatting sqref="AQ393:AQ394">
    <cfRule type="cellIs" dxfId="105" priority="10" operator="equal">
      <formula>FALSE()</formula>
    </cfRule>
  </conditionalFormatting>
  <conditionalFormatting sqref="AQ396:AQ397">
    <cfRule type="cellIs" dxfId="104" priority="9" operator="equal">
      <formula>FALSE()</formula>
    </cfRule>
  </conditionalFormatting>
  <conditionalFormatting sqref="AQ399:AQ400">
    <cfRule type="cellIs" dxfId="103" priority="8" operator="equal">
      <formula>FALSE()</formula>
    </cfRule>
  </conditionalFormatting>
  <conditionalFormatting sqref="AQ402:AQ403">
    <cfRule type="cellIs" dxfId="102" priority="7" operator="equal">
      <formula>FALSE()</formula>
    </cfRule>
  </conditionalFormatting>
  <conditionalFormatting sqref="AQ405:AQ406">
    <cfRule type="cellIs" dxfId="101" priority="6" operator="equal">
      <formula>FALSE()</formula>
    </cfRule>
  </conditionalFormatting>
  <conditionalFormatting sqref="AQ408:AQ409">
    <cfRule type="cellIs" dxfId="100" priority="5" operator="equal">
      <formula>FALSE()</formula>
    </cfRule>
  </conditionalFormatting>
  <conditionalFormatting sqref="AQ411">
    <cfRule type="cellIs" dxfId="99" priority="4" operator="equal">
      <formula>FALSE()</formula>
    </cfRule>
  </conditionalFormatting>
  <conditionalFormatting sqref="AQ413:AQ414">
    <cfRule type="cellIs" dxfId="98" priority="3" operator="equal">
      <formula>FALSE()</formula>
    </cfRule>
  </conditionalFormatting>
  <conditionalFormatting sqref="AQ416:AQ418">
    <cfRule type="cellIs" dxfId="97" priority="2" operator="equal">
      <formula>FALSE()</formula>
    </cfRule>
  </conditionalFormatting>
  <conditionalFormatting sqref="AR211:AV211">
    <cfRule type="cellIs" dxfId="96" priority="42" operator="equal">
      <formula>FALSE()</formula>
    </cfRule>
  </conditionalFormatting>
  <conditionalFormatting sqref="AR213:AV217">
    <cfRule type="cellIs" dxfId="9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146050</xdr:colOff>
                    <xdr:row>0</xdr:row>
                    <xdr:rowOff>31750</xdr:rowOff>
                  </from>
                  <to>
                    <xdr:col>7</xdr:col>
                    <xdr:colOff>152400</xdr:colOff>
                    <xdr:row>0</xdr:row>
                    <xdr:rowOff>184150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244" activePane="bottomRight" state="frozen"/>
      <selection pane="topRight" activeCell="K1" sqref="K1"/>
      <selection pane="bottomLeft" activeCell="A5" sqref="A5"/>
      <selection pane="bottomRight" activeCell="AR249" sqref="AR249"/>
    </sheetView>
  </sheetViews>
  <sheetFormatPr defaultColWidth="0" defaultRowHeight="13.5" zeroHeight="1" outlineLevelCol="1"/>
  <cols>
    <col min="1" max="4" width="1.4609375" customWidth="1"/>
    <col min="5" max="5" width="71.765625" customWidth="1"/>
    <col min="6" max="6" width="3" customWidth="1"/>
    <col min="7" max="7" width="12" customWidth="1"/>
    <col min="8" max="8" width="7.15234375" customWidth="1"/>
    <col min="9" max="9" width="11" customWidth="1"/>
    <col min="10" max="10" width="1.4609375" customWidth="1" collapsed="1"/>
    <col min="11" max="35" width="9.61328125" hidden="1" customWidth="1" outlineLevel="1"/>
    <col min="36" max="48" width="9.61328125" customWidth="1"/>
    <col min="49" max="49" width="9.765625" customWidth="1"/>
    <col min="50" max="99" width="0" hidden="1" customWidth="1"/>
    <col min="100" max="16384" width="9" hidden="1"/>
  </cols>
  <sheetData>
    <row r="1" spans="1:49" ht="18.5">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6">
      <c r="A2" s="181"/>
      <c r="B2" s="157" t="str">
        <f>UserInterface!E30</f>
        <v>SPD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21.76</v>
      </c>
      <c r="AS31" s="30">
        <f>SelectedInputs!AS15</f>
        <v>25.6</v>
      </c>
      <c r="AT31" s="30">
        <f>SelectedInputs!AT15</f>
        <v>22.64</v>
      </c>
      <c r="AU31" s="30">
        <f>SelectedInputs!AU15</f>
        <v>22.21</v>
      </c>
      <c r="AV31" s="30">
        <f>SelectedInputs!AV15</f>
        <v>22.87</v>
      </c>
      <c r="AW31" s="378"/>
    </row>
    <row r="32" spans="1:49" ht="16">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40.21</v>
      </c>
      <c r="AS32" s="30">
        <f>SelectedInputs!AS16</f>
        <v>43.95</v>
      </c>
      <c r="AT32" s="30">
        <f>SelectedInputs!AT16</f>
        <v>44.23</v>
      </c>
      <c r="AU32" s="30">
        <f>SelectedInputs!AU16</f>
        <v>44.77</v>
      </c>
      <c r="AV32" s="30">
        <f>SelectedInputs!AV16</f>
        <v>42.96</v>
      </c>
      <c r="AW32" s="378"/>
    </row>
    <row r="33" spans="1:49" ht="16">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32.65</v>
      </c>
      <c r="AS33" s="30">
        <f>SelectedInputs!AS17</f>
        <v>34.369999999999997</v>
      </c>
      <c r="AT33" s="30">
        <f>SelectedInputs!AT17</f>
        <v>29.04</v>
      </c>
      <c r="AU33" s="30">
        <f>SelectedInputs!AU17</f>
        <v>30.35</v>
      </c>
      <c r="AV33" s="30">
        <f>SelectedInputs!AV17</f>
        <v>27.41</v>
      </c>
      <c r="AW33" s="378"/>
    </row>
    <row r="34" spans="1:49" ht="16">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25.36</v>
      </c>
      <c r="AS34" s="30">
        <f>SelectedInputs!AS18</f>
        <v>25.05</v>
      </c>
      <c r="AT34" s="30">
        <f>SelectedInputs!AT18</f>
        <v>24.51</v>
      </c>
      <c r="AU34" s="30">
        <f>SelectedInputs!AU18</f>
        <v>24.1</v>
      </c>
      <c r="AV34" s="30">
        <f>SelectedInputs!AV18</f>
        <v>23.66</v>
      </c>
      <c r="AW34" s="378"/>
    </row>
    <row r="35" spans="1:49" ht="16">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3.85</v>
      </c>
      <c r="AS35" s="30">
        <f>SelectedInputs!AS19</f>
        <v>3.87</v>
      </c>
      <c r="AT35" s="30">
        <f>SelectedInputs!AT19</f>
        <v>3.81</v>
      </c>
      <c r="AU35" s="30">
        <f>SelectedInputs!AU19</f>
        <v>3.87</v>
      </c>
      <c r="AV35" s="30">
        <f>SelectedInputs!AV19</f>
        <v>3.68</v>
      </c>
      <c r="AW35" s="378"/>
    </row>
    <row r="36" spans="1:49" ht="16">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16.309999999999999</v>
      </c>
      <c r="AS36" s="30">
        <f>SelectedInputs!AS20</f>
        <v>16.100000000000001</v>
      </c>
      <c r="AT36" s="30">
        <f>SelectedInputs!AT20</f>
        <v>15.68</v>
      </c>
      <c r="AU36" s="30">
        <f>SelectedInputs!AU20</f>
        <v>15.11</v>
      </c>
      <c r="AV36" s="30">
        <f>SelectedInputs!AV20</f>
        <v>14.78</v>
      </c>
      <c r="AW36" s="378"/>
    </row>
    <row r="37" spans="1:49" ht="16">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93.05</v>
      </c>
      <c r="AS37" s="30">
        <f>SelectedInputs!AS21</f>
        <v>90.23</v>
      </c>
      <c r="AT37" s="30">
        <f>SelectedInputs!AT21</f>
        <v>88.25</v>
      </c>
      <c r="AU37" s="30">
        <f>SelectedInputs!AU21</f>
        <v>83.89</v>
      </c>
      <c r="AV37" s="30">
        <f>SelectedInputs!AV21</f>
        <v>82.16</v>
      </c>
      <c r="AW37" s="378"/>
    </row>
    <row r="38" spans="1:49" ht="16">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-1.1137508218239438</v>
      </c>
      <c r="AS41" s="7">
        <f t="shared" si="7"/>
        <v>-0.96814285258815524</v>
      </c>
      <c r="AT41" s="7">
        <f t="shared" si="7"/>
        <v>-0.67988632101988111</v>
      </c>
      <c r="AU41" s="7">
        <f t="shared" si="7"/>
        <v>-0.45153761894329597</v>
      </c>
      <c r="AV41" s="7">
        <f t="shared" si="7"/>
        <v>-0.25220526590067011</v>
      </c>
      <c r="AW41" s="285"/>
    </row>
    <row r="42" spans="1:49" ht="16">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27.432966369403598</v>
      </c>
      <c r="AS42" s="7">
        <f t="shared" si="7"/>
        <v>30.013619744470599</v>
      </c>
      <c r="AT42" s="7">
        <f t="shared" si="7"/>
        <v>22.735767197100703</v>
      </c>
      <c r="AU42" s="7">
        <f t="shared" si="7"/>
        <v>24.292501270950353</v>
      </c>
      <c r="AV42" s="7">
        <f t="shared" si="7"/>
        <v>24.84943040010565</v>
      </c>
    </row>
    <row r="43" spans="1:49" ht="16">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1.0968833427975748</v>
      </c>
      <c r="AS43" s="7">
        <f t="shared" si="7"/>
        <v>0.31639644983190796</v>
      </c>
      <c r="AT43" s="7">
        <f t="shared" si="7"/>
        <v>2.579333926380674</v>
      </c>
      <c r="AU43" s="7">
        <f t="shared" si="7"/>
        <v>1.7928470905108485</v>
      </c>
      <c r="AV43" s="7">
        <f t="shared" si="7"/>
        <v>2.0665220277782703</v>
      </c>
    </row>
    <row r="44" spans="1:49" ht="16">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-1.1873040564942772</v>
      </c>
      <c r="AS44" s="7">
        <f t="shared" si="7"/>
        <v>-1.0320799891859131</v>
      </c>
      <c r="AT44" s="7">
        <f t="shared" si="7"/>
        <v>-0.72478670370802067</v>
      </c>
      <c r="AU44" s="7">
        <f t="shared" si="7"/>
        <v>-0.48135762158466761</v>
      </c>
      <c r="AV44" s="7">
        <f t="shared" si="7"/>
        <v>-0.26886115763550755</v>
      </c>
    </row>
    <row r="45" spans="1:49" ht="16">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-0.18465733125131079</v>
      </c>
      <c r="AS45" s="7">
        <f t="shared" si="7"/>
        <v>-0.16051586398489745</v>
      </c>
      <c r="AT45" s="7">
        <f t="shared" si="7"/>
        <v>-0.11272359232759238</v>
      </c>
      <c r="AU45" s="7">
        <f t="shared" si="7"/>
        <v>-7.4863901368075136E-2</v>
      </c>
      <c r="AV45" s="7">
        <f t="shared" si="7"/>
        <v>-4.181505451324978E-2</v>
      </c>
    </row>
    <row r="46" spans="1:49" ht="16">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-0.75469489994639483</v>
      </c>
      <c r="AS46" s="7">
        <f t="shared" si="7"/>
        <v>-0.65602867261752107</v>
      </c>
      <c r="AT46" s="7">
        <f t="shared" si="7"/>
        <v>-0.4607015581606736</v>
      </c>
      <c r="AU46" s="7">
        <f t="shared" si="7"/>
        <v>-0.30596892183870533</v>
      </c>
      <c r="AV46" s="7">
        <f t="shared" si="7"/>
        <v>-0.17089821545823991</v>
      </c>
    </row>
    <row r="47" spans="1:49" ht="16">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-3.8170669550214598</v>
      </c>
      <c r="AS47" s="7">
        <f t="shared" si="7"/>
        <v>-3.2220218962105736</v>
      </c>
      <c r="AT47" s="7">
        <f t="shared" si="7"/>
        <v>-1.841872470724957</v>
      </c>
      <c r="AU47" s="7">
        <f t="shared" si="7"/>
        <v>-1.1723298201861914</v>
      </c>
      <c r="AV47" s="7">
        <f t="shared" si="7"/>
        <v>-0.41328025683600467</v>
      </c>
    </row>
    <row r="48" spans="1:49" ht="16">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24.455711666761591</v>
      </c>
      <c r="AS51" s="7">
        <f t="shared" si="8"/>
        <v>18.313977738329672</v>
      </c>
      <c r="AT51" s="7">
        <f t="shared" si="8"/>
        <v>50.287318539584547</v>
      </c>
      <c r="AU51" s="7">
        <f t="shared" si="8"/>
        <v>50.979583324491003</v>
      </c>
      <c r="AV51" s="7">
        <f t="shared" si="8"/>
        <v>52.8285650368205</v>
      </c>
    </row>
    <row r="52" spans="1:48" ht="16">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2.5570152906912496</v>
      </c>
      <c r="AS52" s="7">
        <f t="shared" si="8"/>
        <v>9.7427448940612802</v>
      </c>
      <c r="AT52" s="7">
        <f t="shared" si="8"/>
        <v>16.743826532446771</v>
      </c>
      <c r="AU52" s="7">
        <f t="shared" si="8"/>
        <v>23.00545151209359</v>
      </c>
      <c r="AV52" s="7">
        <f t="shared" si="8"/>
        <v>25.401979140057012</v>
      </c>
    </row>
    <row r="53" spans="1:48" ht="16">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8.51</v>
      </c>
      <c r="AS53" s="7">
        <f t="shared" si="8"/>
        <v>14.48</v>
      </c>
      <c r="AT53" s="7">
        <f t="shared" si="8"/>
        <v>7.19</v>
      </c>
      <c r="AU53" s="7">
        <f t="shared" si="8"/>
        <v>12.875</v>
      </c>
      <c r="AV53" s="7">
        <f t="shared" si="8"/>
        <v>24.535</v>
      </c>
    </row>
    <row r="54" spans="1:48" ht="16">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11.58330067041874</v>
      </c>
      <c r="AT54" s="7">
        <f t="shared" si="8"/>
        <v>2.661845</v>
      </c>
      <c r="AU54" s="7">
        <f t="shared" si="8"/>
        <v>2.308405</v>
      </c>
      <c r="AV54" s="7">
        <f t="shared" si="8"/>
        <v>2.3415400000000002</v>
      </c>
    </row>
    <row r="55" spans="1:48" ht="16">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5.5606244545285275</v>
      </c>
      <c r="AS57" s="7">
        <f t="shared" si="8"/>
        <v>4.9750908266335694</v>
      </c>
      <c r="AT57" s="7">
        <f t="shared" si="8"/>
        <v>8.4380014112151223</v>
      </c>
      <c r="AU57" s="7">
        <f t="shared" si="8"/>
        <v>8.1680014112151227</v>
      </c>
      <c r="AV57" s="7">
        <f t="shared" si="8"/>
        <v>8.8141778151237968</v>
      </c>
    </row>
    <row r="58" spans="1:48" ht="16">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7.4053036420619307</v>
      </c>
      <c r="AS61" s="8">
        <f>SelectedInputs!AS126</f>
        <v>15.579650402661066</v>
      </c>
      <c r="AT61" s="8">
        <f>SelectedInputs!AT126</f>
        <v>16.432369984722207</v>
      </c>
      <c r="AU61" s="8">
        <f>SelectedInputs!AU126</f>
        <v>21.296862946633006</v>
      </c>
      <c r="AV61" s="8">
        <f>SelectedInputs!AV126</f>
        <v>29.36767140788028</v>
      </c>
    </row>
    <row r="62" spans="1:48" ht="16">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60.468026987655804</v>
      </c>
      <c r="AS62" s="8">
        <f>SelectedInputs!AS127</f>
        <v>76.438580658507917</v>
      </c>
      <c r="AT62" s="8">
        <f>SelectedInputs!AT127</f>
        <v>80.819104464764479</v>
      </c>
      <c r="AU62" s="8">
        <f>SelectedInputs!AU127</f>
        <v>63.904824534846199</v>
      </c>
      <c r="AV62" s="8">
        <f>SelectedInputs!AV127</f>
        <v>53.524458982191916</v>
      </c>
    </row>
    <row r="63" spans="1:48" ht="16">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19.04980957880942</v>
      </c>
      <c r="AS63" s="8">
        <f>SelectedInputs!AS128</f>
        <v>29.539302882342923</v>
      </c>
      <c r="AT63" s="8">
        <f>SelectedInputs!AT128</f>
        <v>28.29726300653217</v>
      </c>
      <c r="AU63" s="8">
        <f>SelectedInputs!AU128</f>
        <v>32.235833929111479</v>
      </c>
      <c r="AV63" s="8">
        <f>SelectedInputs!AV128</f>
        <v>29.11910412505943</v>
      </c>
    </row>
    <row r="64" spans="1:48" ht="16">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25.181093346116146</v>
      </c>
      <c r="AS64" s="8">
        <f>SelectedInputs!AS129</f>
        <v>29.37336217382099</v>
      </c>
      <c r="AT64" s="8">
        <f>SelectedInputs!AT129</f>
        <v>23.968266934420384</v>
      </c>
      <c r="AU64" s="8">
        <f>SelectedInputs!AU129</f>
        <v>23.817107270928545</v>
      </c>
      <c r="AV64" s="8">
        <f>SelectedInputs!AV129</f>
        <v>23.615532175399203</v>
      </c>
    </row>
    <row r="65" spans="1:48" ht="16">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4.4841398367760021</v>
      </c>
      <c r="AS65" s="8">
        <f>SelectedInputs!AS130</f>
        <v>6.1282418038414797</v>
      </c>
      <c r="AT65" s="8">
        <f>SelectedInputs!AT130</f>
        <v>3.9415675227154185</v>
      </c>
      <c r="AU65" s="8">
        <f>SelectedInputs!AU130</f>
        <v>3.9472145737929156</v>
      </c>
      <c r="AV65" s="8">
        <f>SelectedInputs!AV130</f>
        <v>3.9502466302869239</v>
      </c>
    </row>
    <row r="66" spans="1:48" ht="16">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18.358374762784134</v>
      </c>
      <c r="AS66" s="8">
        <f>SelectedInputs!AS131</f>
        <v>13.064714582301995</v>
      </c>
      <c r="AT66" s="8">
        <f>SelectedInputs!AT131</f>
        <v>18.174938098241526</v>
      </c>
      <c r="AU66" s="8">
        <f>SelectedInputs!AU131</f>
        <v>17.324673414570764</v>
      </c>
      <c r="AV66" s="8">
        <f>SelectedInputs!AV131</f>
        <v>17.549235675543112</v>
      </c>
    </row>
    <row r="67" spans="1:48" ht="16">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90.180273290682564</v>
      </c>
      <c r="AS67" s="8">
        <f>SelectedInputs!AS132</f>
        <v>99.638480514271393</v>
      </c>
      <c r="AT67" s="8">
        <f>SelectedInputs!AT132</f>
        <v>111.74184577802872</v>
      </c>
      <c r="AU67" s="8">
        <f>SelectedInputs!AU132</f>
        <v>103.25745746324677</v>
      </c>
      <c r="AV67" s="8">
        <f>SelectedInputs!AV132</f>
        <v>100.4098535490651</v>
      </c>
    </row>
    <row r="68" spans="1:48" ht="16">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5">
        <f>SUM(AR61:AR67)</f>
        <v>225.127021444886</v>
      </c>
      <c r="AS68" s="525">
        <f>SUM(AS61:AS67)</f>
        <v>269.76233301774778</v>
      </c>
      <c r="AT68" s="525">
        <f>SUM(AT61:AT67)</f>
        <v>283.37535578942493</v>
      </c>
      <c r="AU68" s="525">
        <f>SUM(AU61:AU67)</f>
        <v>265.78397413312968</v>
      </c>
      <c r="AV68" s="525">
        <f>SUM(AV61:AV67)</f>
        <v>257.53610254542599</v>
      </c>
    </row>
    <row r="69" spans="1:48" ht="16">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27.551803839442329</v>
      </c>
      <c r="AS72" s="8">
        <f>SelectedInputs!AS135</f>
        <v>32.419644532321904</v>
      </c>
      <c r="AT72" s="8">
        <f>SelectedInputs!AT135</f>
        <v>57.533940403947732</v>
      </c>
      <c r="AU72" s="8">
        <f>SelectedInputs!AU135</f>
        <v>57.533940403947732</v>
      </c>
      <c r="AV72" s="8">
        <f>SelectedInputs!AV135</f>
        <v>59.136194621825609</v>
      </c>
    </row>
    <row r="73" spans="1:48" ht="16">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5.0435576535865181</v>
      </c>
      <c r="AS73" s="8">
        <f>SelectedInputs!AS136</f>
        <v>13.241743911065871</v>
      </c>
      <c r="AT73" s="8">
        <f>SelectedInputs!AT136</f>
        <v>16.921389521173417</v>
      </c>
      <c r="AU73" s="8">
        <f>SelectedInputs!AU136</f>
        <v>23.107999811505177</v>
      </c>
      <c r="AV73" s="8">
        <f>SelectedInputs!AV136</f>
        <v>25.460868262491388</v>
      </c>
    </row>
    <row r="74" spans="1:48" ht="16">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6.6457663075027469</v>
      </c>
      <c r="AS74" s="8">
        <f>SelectedInputs!AS137</f>
        <v>7.4275819720431215</v>
      </c>
      <c r="AT74" s="8">
        <f>SelectedInputs!AT137</f>
        <v>14.622217240151381</v>
      </c>
      <c r="AU74" s="8">
        <f>SelectedInputs!AU137</f>
        <v>31.232217240151382</v>
      </c>
      <c r="AV74" s="8">
        <f>SelectedInputs!AV137</f>
        <v>33.012217240151379</v>
      </c>
    </row>
    <row r="75" spans="1:48" ht="16">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8.0709906704187411</v>
      </c>
      <c r="AT75" s="8">
        <f>SelectedInputs!AT138</f>
        <v>0</v>
      </c>
      <c r="AU75" s="8">
        <f>SelectedInputs!AU138</f>
        <v>0</v>
      </c>
      <c r="AV75" s="8">
        <f>SelectedInputs!AV138</f>
        <v>0</v>
      </c>
    </row>
    <row r="76" spans="1:48" ht="16">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6">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v>
      </c>
      <c r="AS78" s="8">
        <f>SelectedInputs!AS141</f>
        <v>0</v>
      </c>
      <c r="AT78" s="8">
        <f>SelectedInputs!AT141</f>
        <v>0</v>
      </c>
      <c r="AU78" s="8">
        <f>SelectedInputs!AU141</f>
        <v>0</v>
      </c>
      <c r="AV78" s="8">
        <f>SelectedInputs!AV141</f>
        <v>0</v>
      </c>
    </row>
    <row r="79" spans="1:48" ht="16">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5">
        <f>SUM(AR72:AR78)</f>
        <v>39.241127800531594</v>
      </c>
      <c r="AS79" s="525">
        <f>SUM(AS72:AS78)</f>
        <v>61.159961085849645</v>
      </c>
      <c r="AT79" s="525">
        <f>SUM(AT72:AT78)</f>
        <v>89.077547165272534</v>
      </c>
      <c r="AU79" s="525">
        <f>SUM(AU72:AU78)</f>
        <v>111.87415745560429</v>
      </c>
      <c r="AV79" s="525">
        <f>SUM(AV72:AV78)</f>
        <v>117.60928012446837</v>
      </c>
    </row>
    <row r="80" spans="1:48" ht="16">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
      <c r="A83" s="82"/>
      <c r="B83" s="82"/>
      <c r="C83" s="82"/>
      <c r="D83" s="82"/>
      <c r="E83" s="13" t="s">
        <v>148</v>
      </c>
      <c r="F83" s="2"/>
      <c r="G83" s="2" t="s">
        <v>101</v>
      </c>
      <c r="H83" s="509"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1.8333401822540802</v>
      </c>
      <c r="AS83" s="8">
        <f>SelectedInputs!AS145</f>
        <v>2.0938496933435586</v>
      </c>
      <c r="AT83" s="8">
        <f>SelectedInputs!AT145</f>
        <v>2.2903562410999618</v>
      </c>
      <c r="AU83" s="8">
        <f>SelectedInputs!AU145</f>
        <v>2.4681083129086803</v>
      </c>
      <c r="AV83" s="8">
        <f>SelectedInputs!AV145</f>
        <v>2.6530185011980367</v>
      </c>
    </row>
    <row r="84" spans="1:48" ht="16">
      <c r="A84" s="82"/>
      <c r="B84" s="82"/>
      <c r="C84" s="82"/>
      <c r="D84" s="82"/>
      <c r="E84" s="82" t="s">
        <v>150</v>
      </c>
      <c r="F84" s="2"/>
      <c r="G84" s="2" t="s">
        <v>101</v>
      </c>
      <c r="H84" s="509"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29.571536225703671</v>
      </c>
      <c r="AS84" s="8">
        <f>SelectedInputs!AS146</f>
        <v>30.557878036508615</v>
      </c>
      <c r="AT84" s="8">
        <f>SelectedInputs!AT146</f>
        <v>29.851648112312503</v>
      </c>
      <c r="AU84" s="8">
        <f>SelectedInputs!AU146</f>
        <v>31.752770329363916</v>
      </c>
      <c r="AV84" s="8">
        <f>SelectedInputs!AV146</f>
        <v>31.715960291527441</v>
      </c>
    </row>
    <row r="85" spans="1:48" ht="16">
      <c r="A85" s="82"/>
      <c r="B85" s="82"/>
      <c r="C85" s="82"/>
      <c r="D85" s="82"/>
      <c r="E85" s="13" t="s">
        <v>152</v>
      </c>
      <c r="F85" s="2"/>
      <c r="G85" s="2" t="s">
        <v>101</v>
      </c>
      <c r="H85" s="509"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21.237883232946224</v>
      </c>
      <c r="AS85" s="8">
        <f>SelectedInputs!AS147</f>
        <v>22.427187906174453</v>
      </c>
      <c r="AT85" s="8">
        <f>SelectedInputs!AT147</f>
        <v>23.356219423681853</v>
      </c>
      <c r="AU85" s="8">
        <f>SelectedInputs!AU147</f>
        <v>23.30170328778857</v>
      </c>
      <c r="AV85" s="8">
        <f>SelectedInputs!AV147</f>
        <v>23.243261487706626</v>
      </c>
    </row>
    <row r="86" spans="1:48" ht="16">
      <c r="A86" s="82"/>
      <c r="B86" s="82"/>
      <c r="C86" s="82"/>
      <c r="D86" s="82"/>
      <c r="E86" s="13" t="s">
        <v>154</v>
      </c>
      <c r="F86" s="2"/>
      <c r="G86" s="2" t="s">
        <v>101</v>
      </c>
      <c r="H86" s="509"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1.9538057913382285</v>
      </c>
      <c r="AS86" s="8">
        <f>SelectedInputs!AS148</f>
        <v>1.748834170505932</v>
      </c>
      <c r="AT86" s="8">
        <f>SelectedInputs!AT148</f>
        <v>2.2561863173216885</v>
      </c>
      <c r="AU86" s="8">
        <f>SelectedInputs!AU148</f>
        <v>2.3559712047963859</v>
      </c>
      <c r="AV86" s="8">
        <f>SelectedInputs!AV148</f>
        <v>14.621030922413503</v>
      </c>
    </row>
    <row r="87" spans="1:48" ht="16">
      <c r="A87" s="82"/>
      <c r="B87" s="82"/>
      <c r="C87" s="82"/>
      <c r="D87" s="82"/>
      <c r="E87" s="13" t="s">
        <v>156</v>
      </c>
      <c r="F87" s="2"/>
      <c r="G87" s="2" t="s">
        <v>101</v>
      </c>
      <c r="H87" s="509"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1.3886495382801158</v>
      </c>
      <c r="AS87" s="8">
        <f>SelectedInputs!AS149</f>
        <v>1.1279691388708</v>
      </c>
      <c r="AT87" s="8">
        <f>SelectedInputs!AT149</f>
        <v>1.5277685223039756</v>
      </c>
      <c r="AU87" s="8">
        <f>SelectedInputs!AU149</f>
        <v>1.5277685223039756</v>
      </c>
      <c r="AV87" s="8">
        <f>SelectedInputs!AV149</f>
        <v>1.5277685223039756</v>
      </c>
    </row>
    <row r="88" spans="1:48" ht="16">
      <c r="A88" s="82"/>
      <c r="B88" s="82"/>
      <c r="C88" s="82"/>
      <c r="D88" s="82"/>
      <c r="E88" s="13" t="s">
        <v>158</v>
      </c>
      <c r="F88" s="2"/>
      <c r="G88" s="2" t="s">
        <v>101</v>
      </c>
      <c r="H88" s="509"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6">
      <c r="A89" s="82"/>
      <c r="B89" s="82"/>
      <c r="C89" s="82"/>
      <c r="D89" s="82"/>
      <c r="E89" s="13" t="s">
        <v>160</v>
      </c>
      <c r="F89" s="2"/>
      <c r="G89" s="2" t="s">
        <v>101</v>
      </c>
      <c r="H89" s="509"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13.937079923818523</v>
      </c>
      <c r="AS89" s="8">
        <f>SelectedInputs!AS151</f>
        <v>0.44379427331895704</v>
      </c>
      <c r="AT89" s="8">
        <f>SelectedInputs!AT151</f>
        <v>-0.51997411265006177</v>
      </c>
      <c r="AU89" s="8">
        <f>SelectedInputs!AU151</f>
        <v>-2.445119335319422</v>
      </c>
      <c r="AV89" s="8">
        <f>SelectedInputs!AV151</f>
        <v>0</v>
      </c>
    </row>
    <row r="90" spans="1:48" ht="16">
      <c r="A90" s="82"/>
      <c r="B90" s="82"/>
      <c r="C90" s="82"/>
      <c r="D90" s="82"/>
      <c r="E90" s="13" t="s">
        <v>162</v>
      </c>
      <c r="F90" s="2"/>
      <c r="G90" s="2" t="s">
        <v>101</v>
      </c>
      <c r="H90" s="509"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4.1249925696201756E-2</v>
      </c>
      <c r="AS90" s="8">
        <f>SelectedInputs!AS152</f>
        <v>0.11622045067797707</v>
      </c>
      <c r="AT90" s="8">
        <f>SelectedInputs!AT152</f>
        <v>0</v>
      </c>
      <c r="AU90" s="8">
        <f>SelectedInputs!AU152</f>
        <v>0</v>
      </c>
      <c r="AV90" s="8">
        <f>SelectedInputs!AV152</f>
        <v>0</v>
      </c>
    </row>
    <row r="91" spans="1:48" ht="16">
      <c r="A91" s="82"/>
      <c r="B91" s="82"/>
      <c r="C91" s="82"/>
      <c r="D91" s="82"/>
      <c r="E91" s="82" t="s">
        <v>164</v>
      </c>
      <c r="F91" s="82"/>
      <c r="G91" s="2" t="s">
        <v>101</v>
      </c>
      <c r="H91" s="509"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29.993191576581179</v>
      </c>
      <c r="AS91" s="30">
        <f>SelectedInputs!AS153</f>
        <v>-5.75</v>
      </c>
      <c r="AT91" s="30">
        <f>SelectedInputs!AT153</f>
        <v>-5.75</v>
      </c>
      <c r="AU91" s="30">
        <f>SelectedInputs!AU153</f>
        <v>-5.75</v>
      </c>
      <c r="AV91" s="30">
        <f>SelectedInputs!AV153</f>
        <v>-5.7448273360144393</v>
      </c>
    </row>
    <row r="92" spans="1:48" ht="16">
      <c r="A92" s="82"/>
      <c r="B92" s="82"/>
      <c r="C92" s="82"/>
      <c r="D92" s="82"/>
      <c r="E92" s="82" t="s">
        <v>166</v>
      </c>
      <c r="F92" s="82"/>
      <c r="G92" s="2" t="s">
        <v>101</v>
      </c>
      <c r="H92" s="509"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
      <c r="A93" s="82"/>
      <c r="B93" s="82"/>
      <c r="C93" s="82"/>
      <c r="D93" s="82"/>
      <c r="E93" s="82" t="s">
        <v>168</v>
      </c>
      <c r="F93" s="2"/>
      <c r="G93" s="2" t="s">
        <v>101</v>
      </c>
      <c r="H93" s="509"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
      <c r="A94" s="82"/>
      <c r="B94" s="82"/>
      <c r="C94" s="82"/>
      <c r="D94" s="82"/>
      <c r="E94" s="82" t="s">
        <v>170</v>
      </c>
      <c r="F94" s="82"/>
      <c r="G94" s="82" t="s">
        <v>101</v>
      </c>
      <c r="H94" s="509"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
      <c r="A95" s="82"/>
      <c r="B95" s="82"/>
      <c r="C95" s="82"/>
      <c r="D95" s="82"/>
      <c r="E95" s="182" t="s">
        <v>172</v>
      </c>
      <c r="F95" s="82"/>
      <c r="G95" s="82" t="s">
        <v>101</v>
      </c>
      <c r="H95" s="509"/>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
      <c r="A96" s="82"/>
      <c r="B96" s="82"/>
      <c r="C96" s="82"/>
      <c r="D96" s="82"/>
      <c r="E96" s="182" t="s">
        <v>172</v>
      </c>
      <c r="F96" s="82"/>
      <c r="G96" s="82" t="s">
        <v>101</v>
      </c>
      <c r="H96" s="509"/>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
      <c r="A97" s="82"/>
      <c r="B97" s="82"/>
      <c r="C97" s="82"/>
      <c r="D97" s="82"/>
      <c r="E97" s="13" t="s">
        <v>553</v>
      </c>
      <c r="F97" s="2"/>
      <c r="G97" s="2" t="s">
        <v>101</v>
      </c>
      <c r="H97" s="509"/>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99.956736396618226</v>
      </c>
      <c r="AS97" s="431">
        <f>SUM(AS83:AS91,AS93)-(AS92+AS94)+SUM(AS95:AS96)</f>
        <v>52.765733669400298</v>
      </c>
      <c r="AT97" s="431">
        <f>SUM(AT83:AT91,AT93)-(AT92+AT94)+SUM(AT95:AT96)</f>
        <v>53.012204504069928</v>
      </c>
      <c r="AU97" s="431">
        <f>SUM(AU83:AU91,AU93)-(AU92+AU94)+SUM(AU95:AU96)</f>
        <v>53.211202321842094</v>
      </c>
      <c r="AV97" s="431">
        <f>SUM(AV83:AV91,AV93)-(AV92+AV94)+SUM(AV95:AV96)</f>
        <v>68.016212389135134</v>
      </c>
    </row>
    <row r="98" spans="1:53" ht="16">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0.31977678575002372</v>
      </c>
      <c r="AS101" s="465">
        <f>SelectedInputs!AS162</f>
        <v>0.7221382044515865</v>
      </c>
      <c r="AT101" s="465">
        <f>SelectedInputs!AT162</f>
        <v>0.94190481339973209</v>
      </c>
      <c r="AU101" s="465">
        <f>SelectedInputs!AU162</f>
        <v>0.43632869999999979</v>
      </c>
      <c r="AV101" s="465">
        <f>SelectedInputs!AV162</f>
        <v>0.43632869999999979</v>
      </c>
      <c r="AW101" s="184"/>
      <c r="AX101" s="184"/>
      <c r="AY101" s="184"/>
      <c r="AZ101" s="184"/>
      <c r="BA101" s="184"/>
    </row>
    <row r="102" spans="1:53" s="82" customFormat="1" ht="16">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0.55217773458555719</v>
      </c>
      <c r="AS102" s="465">
        <f>SelectedInputs!AS163</f>
        <v>0.76234246943237083</v>
      </c>
      <c r="AT102" s="465">
        <f>SelectedInputs!AT163</f>
        <v>1.2147947383738646</v>
      </c>
      <c r="AU102" s="465">
        <f>SelectedInputs!AU163</f>
        <v>2.7972000000000112</v>
      </c>
      <c r="AV102" s="465">
        <f>SelectedInputs!AV163</f>
        <v>3.323</v>
      </c>
      <c r="AW102" s="184"/>
      <c r="AX102" s="184"/>
      <c r="AY102" s="184"/>
      <c r="AZ102" s="184"/>
      <c r="BA102" s="184"/>
    </row>
    <row r="103" spans="1:53" s="82" customFormat="1" ht="16">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2.9376707218293099</v>
      </c>
      <c r="AS103" s="465">
        <f>SelectedInputs!AS164</f>
        <v>2.7283043517612438</v>
      </c>
      <c r="AT103" s="465">
        <f>SelectedInputs!AT164</f>
        <v>3.0301033943281035</v>
      </c>
      <c r="AU103" s="465">
        <f>SelectedInputs!AU164</f>
        <v>1.255965</v>
      </c>
      <c r="AV103" s="465">
        <f>SelectedInputs!AV164</f>
        <v>1.2535799999999999</v>
      </c>
      <c r="AW103" s="184"/>
      <c r="AX103" s="184"/>
      <c r="AY103" s="184"/>
      <c r="AZ103" s="184"/>
      <c r="BA103" s="184"/>
    </row>
    <row r="104" spans="1:53" s="82" customFormat="1" ht="16">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1.661</v>
      </c>
      <c r="AT105" s="465">
        <f>SelectedInputs!AT166</f>
        <v>0</v>
      </c>
      <c r="AU105" s="465">
        <f>SelectedInputs!AU166</f>
        <v>0</v>
      </c>
      <c r="AV105" s="465">
        <f>SelectedInputs!AV166</f>
        <v>4.9174060964104758</v>
      </c>
      <c r="AW105" s="184"/>
      <c r="AX105" s="184"/>
      <c r="AY105" s="184"/>
      <c r="AZ105" s="184"/>
      <c r="BA105" s="184"/>
    </row>
    <row r="106" spans="1:53" s="82" customFormat="1" ht="16">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0.28267199999999998</v>
      </c>
      <c r="AS106" s="465">
        <f>SelectedInputs!AS167</f>
        <v>1.7274800000000001</v>
      </c>
      <c r="AT106" s="465">
        <f>SelectedInputs!AT167</f>
        <v>0</v>
      </c>
      <c r="AU106" s="465">
        <f>SelectedInputs!AU167</f>
        <v>0</v>
      </c>
      <c r="AV106" s="465">
        <f>SelectedInputs!AV167</f>
        <v>0</v>
      </c>
      <c r="AW106" s="184"/>
      <c r="AX106" s="184"/>
      <c r="AY106" s="184"/>
      <c r="AZ106" s="184"/>
      <c r="BA106" s="184"/>
    </row>
    <row r="107" spans="1:53" s="82" customFormat="1" ht="16">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6">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4.0922972421648911</v>
      </c>
      <c r="AS111" s="467">
        <f>SUM(AS101:AS110)</f>
        <v>7.6012650256452012</v>
      </c>
      <c r="AT111" s="467">
        <f>SUM(AT101:AT110)</f>
        <v>5.1868029461017002</v>
      </c>
      <c r="AU111" s="467">
        <f>SUM(AU101:AU110)</f>
        <v>4.4894937000000112</v>
      </c>
      <c r="AV111" s="467">
        <f>SUM(AV101:AV110)</f>
        <v>9.9303147964104745</v>
      </c>
      <c r="AW111" s="184"/>
      <c r="AX111" s="184"/>
      <c r="AY111" s="184"/>
      <c r="AZ111" s="184"/>
      <c r="BA111" s="184"/>
    </row>
    <row r="112" spans="1:53" s="82" customFormat="1" ht="16">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6">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7.8688423294344736E-2</v>
      </c>
      <c r="AS117" s="7">
        <f>SelectedInputs!AS177</f>
        <v>0.92604130218589942</v>
      </c>
      <c r="AT117" s="7">
        <f>SelectedInputs!AT177</f>
        <v>4.8952702745197563</v>
      </c>
      <c r="AU117" s="7">
        <f>SelectedInputs!AU177</f>
        <v>0</v>
      </c>
      <c r="AV117" s="7">
        <f>SelectedInputs!AV177</f>
        <v>0</v>
      </c>
    </row>
    <row r="118" spans="1:48" ht="16">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0.93376716759334188</v>
      </c>
      <c r="AS118" s="7">
        <f>SelectedInputs!AS178</f>
        <v>0</v>
      </c>
      <c r="AT118" s="7">
        <f>SelectedInputs!AT178</f>
        <v>0</v>
      </c>
      <c r="AU118" s="7">
        <f>SelectedInputs!AU178</f>
        <v>0</v>
      </c>
      <c r="AV118" s="7">
        <f>SelectedInputs!AV178</f>
        <v>0</v>
      </c>
    </row>
    <row r="119" spans="1:48" ht="16">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4">
        <f>SUM(AR117:AR122)</f>
        <v>1.0124555908876867</v>
      </c>
      <c r="AS123" s="525">
        <f>SUM(AS117:AS122)</f>
        <v>0.92604130218589942</v>
      </c>
      <c r="AT123" s="525">
        <f>SUM(AT117:AT122)</f>
        <v>4.8952702745197563</v>
      </c>
      <c r="AU123" s="525">
        <f>SUM(AU117:AU122)</f>
        <v>0</v>
      </c>
      <c r="AV123" s="525">
        <f>SUM(AV117:AV122)</f>
        <v>0</v>
      </c>
    </row>
    <row r="124" spans="1:48" ht="16">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-1.1249505440468082</v>
      </c>
      <c r="AS124" s="30">
        <f xml:space="preserve"> - SUMPRODUCT($I$117:$I$119,AS117:AS119)</f>
        <v>-1.0289346773130768</v>
      </c>
      <c r="AT124" s="30">
        <f xml:space="preserve"> - SUMPRODUCT($I$117:$I$119,AT117:AT119)</f>
        <v>-5.4391886499919204</v>
      </c>
      <c r="AU124" s="30">
        <f xml:space="preserve"> - SUMPRODUCT($I$117:$I$119,AU117:AU119)</f>
        <v>0</v>
      </c>
      <c r="AV124" s="30">
        <f xml:space="preserve"> - SUMPRODUCT($I$117:$I$119,AV117:AV119)</f>
        <v>0</v>
      </c>
    </row>
    <row r="125" spans="1:48" ht="16">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30.193787032597307</v>
      </c>
      <c r="AS129" s="8">
        <f>SelectedInputs!AS191</f>
        <v>37.340744726597052</v>
      </c>
      <c r="AT129" s="8">
        <f>SelectedInputs!AT191</f>
        <v>0</v>
      </c>
      <c r="AU129" s="8">
        <f>SelectedInputs!AU191</f>
        <v>0</v>
      </c>
      <c r="AV129" s="8">
        <f>SelectedInputs!AV191</f>
        <v>0</v>
      </c>
    </row>
    <row r="130" spans="1:48" ht="16">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-30.908219879311623</v>
      </c>
      <c r="AS130" s="8">
        <f>SelectedInputs!AS192</f>
        <v>-37.734014514661801</v>
      </c>
      <c r="AT130" s="8">
        <f>SelectedInputs!AT192</f>
        <v>0</v>
      </c>
      <c r="AU130" s="8">
        <f>SelectedInputs!AU192</f>
        <v>0</v>
      </c>
      <c r="AV130" s="8">
        <f>SelectedInputs!AV192</f>
        <v>0</v>
      </c>
    </row>
    <row r="131" spans="1:48" ht="16">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2.1404648649639912</v>
      </c>
      <c r="AS131" s="8">
        <f>SelectedInputs!AS193</f>
        <v>1.8941926328749374</v>
      </c>
      <c r="AT131" s="8">
        <f>SelectedInputs!AT193</f>
        <v>1.4298489583934437</v>
      </c>
      <c r="AU131" s="8">
        <f>SelectedInputs!AU193</f>
        <v>1.9886250040329405</v>
      </c>
      <c r="AV131" s="8">
        <f>SelectedInputs!AV193</f>
        <v>3.100814972910797</v>
      </c>
    </row>
    <row r="132" spans="1:48" ht="16">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-4.6533782739685288</v>
      </c>
      <c r="AS132" s="8">
        <f>SelectedInputs!AS194</f>
        <v>-4.3996216040889831</v>
      </c>
      <c r="AT132" s="8">
        <f>SelectedInputs!AT194</f>
        <v>-1.4018127043072977</v>
      </c>
      <c r="AU132" s="8">
        <f>SelectedInputs!AU194</f>
        <v>-1.9496323568950398</v>
      </c>
      <c r="AV132" s="8">
        <f>SelectedInputs!AV194</f>
        <v>-3.0400146793243108</v>
      </c>
    </row>
    <row r="133" spans="1:48" ht="16">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0.63009936060795257</v>
      </c>
      <c r="AS133" s="8">
        <f>SelectedInputs!AS195</f>
        <v>0.73954591821127325</v>
      </c>
      <c r="AT133" s="8">
        <f>SelectedInputs!AT195</f>
        <v>3.9693663952638332</v>
      </c>
      <c r="AU133" s="8">
        <f>SelectedInputs!AU195</f>
        <v>6.3726038761284238</v>
      </c>
      <c r="AV133" s="8">
        <f>SelectedInputs!AV195</f>
        <v>11.146357148524215</v>
      </c>
    </row>
    <row r="134" spans="1:48" ht="16">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-1.2311420658154217</v>
      </c>
      <c r="AS134" s="8">
        <f>SelectedInputs!AS196</f>
        <v>-1.2107184874898447</v>
      </c>
      <c r="AT134" s="8">
        <f>SelectedInputs!AT196</f>
        <v>-3.891535681631209</v>
      </c>
      <c r="AU134" s="8">
        <f>SelectedInputs!AU196</f>
        <v>-6.2476508589494353</v>
      </c>
      <c r="AV134" s="8">
        <f>SelectedInputs!AV196</f>
        <v>-10.927801126004132</v>
      </c>
    </row>
    <row r="135" spans="1:48" ht="16">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1.9965600008835967E-3</v>
      </c>
      <c r="AS135" s="8">
        <f>SelectedInputs!AS197</f>
        <v>7.0926861764927344E-3</v>
      </c>
      <c r="AT135" s="8">
        <f>SelectedInputs!AT197</f>
        <v>0</v>
      </c>
      <c r="AU135" s="8">
        <f>SelectedInputs!AU197</f>
        <v>0</v>
      </c>
      <c r="AV135" s="8">
        <f>SelectedInputs!AV197</f>
        <v>0</v>
      </c>
    </row>
    <row r="136" spans="1:48" ht="16">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0.68650477677910882</v>
      </c>
      <c r="AS137" s="8">
        <f>SelectedInputs!AS199</f>
        <v>0.67642866948097091</v>
      </c>
      <c r="AT137" s="8">
        <f>SelectedInputs!AT199</f>
        <v>0.7193479940624945</v>
      </c>
      <c r="AU137" s="8">
        <f>SelectedInputs!AU199</f>
        <v>0.71635768940318667</v>
      </c>
      <c r="AV137" s="8">
        <f>SelectedInputs!AV199</f>
        <v>0.71185798128164468</v>
      </c>
    </row>
    <row r="138" spans="1:48" ht="16">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-0.68650477677910882</v>
      </c>
      <c r="AS138" s="8">
        <f>SelectedInputs!AS200</f>
        <v>-0.67479271226277959</v>
      </c>
      <c r="AT138" s="8">
        <f>SelectedInputs!AT200</f>
        <v>-0.70524313143381812</v>
      </c>
      <c r="AU138" s="8">
        <f>SelectedInputs!AU200</f>
        <v>-0.70231146019920265</v>
      </c>
      <c r="AV138" s="8">
        <f>SelectedInputs!AV200</f>
        <v>-0.69789998164867129</v>
      </c>
    </row>
    <row r="139" spans="1:48" ht="16">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4.1659421804704193</v>
      </c>
      <c r="AS139" s="8">
        <f>SelectedInputs!AS201</f>
        <v>3.8795799400808888</v>
      </c>
      <c r="AT139" s="8">
        <f>SelectedInputs!AT201</f>
        <v>1.5614070400655273</v>
      </c>
      <c r="AU139" s="8">
        <f>SelectedInputs!AU201</f>
        <v>1.3218312239629997</v>
      </c>
      <c r="AV139" s="8">
        <f>SelectedInputs!AV201</f>
        <v>1.1166947390763351</v>
      </c>
    </row>
    <row r="140" spans="1:48" ht="16">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-1.6669797286080867</v>
      </c>
      <c r="AS140" s="8">
        <f>SelectedInputs!AS202</f>
        <v>-1.5725369689485809</v>
      </c>
      <c r="AT140" s="8">
        <f>SelectedInputs!AT202</f>
        <v>-1.530791215750517</v>
      </c>
      <c r="AU140" s="8">
        <f>SelectedInputs!AU202</f>
        <v>-1.2959129646696075</v>
      </c>
      <c r="AV140" s="8">
        <f>SelectedInputs!AV202</f>
        <v>-1.0947987638003285</v>
      </c>
    </row>
    <row r="141" spans="1:48" ht="16">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5"/>
      <c r="AK143" s="525"/>
      <c r="AL143" s="525"/>
      <c r="AM143" s="525"/>
      <c r="AN143" s="525"/>
      <c r="AO143" s="525"/>
      <c r="AP143" s="525"/>
      <c r="AQ143" s="530"/>
      <c r="AR143" s="525">
        <f t="shared" ref="AR143:AV144" si="9">(AR129+AR131+AR133+AR135+AR137+AR139+AR141)</f>
        <v>37.818794775419654</v>
      </c>
      <c r="AS143" s="525">
        <f t="shared" si="9"/>
        <v>44.537584573421611</v>
      </c>
      <c r="AT143" s="525">
        <f t="shared" si="9"/>
        <v>7.6799703877852981</v>
      </c>
      <c r="AU143" s="525">
        <f t="shared" si="9"/>
        <v>10.399417793527551</v>
      </c>
      <c r="AV143" s="525">
        <f t="shared" si="9"/>
        <v>16.07572484179299</v>
      </c>
    </row>
    <row r="144" spans="1:48" ht="16">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-39.146224724482764</v>
      </c>
      <c r="AS144" s="30">
        <f t="shared" si="9"/>
        <v>-45.59168428745199</v>
      </c>
      <c r="AT144" s="30">
        <f t="shared" si="9"/>
        <v>-7.5293827331228416</v>
      </c>
      <c r="AU144" s="30">
        <f t="shared" si="9"/>
        <v>-10.195507640713286</v>
      </c>
      <c r="AV144" s="30">
        <f t="shared" si="9"/>
        <v>-15.760514550777442</v>
      </c>
    </row>
    <row r="145" spans="1:48" ht="16">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0.56832212146821437</v>
      </c>
      <c r="AS146" s="30">
        <f>SelectedInputs!AS205</f>
        <v>0.81888322917992773</v>
      </c>
      <c r="AT146" s="30">
        <f>SelectedInputs!AT205</f>
        <v>1.5795318693837128</v>
      </c>
      <c r="AU146" s="30">
        <f>SelectedInputs!AU205</f>
        <v>1.5718738635340339</v>
      </c>
      <c r="AV146" s="30">
        <f>SelectedInputs!AV205</f>
        <v>1.5612712494379735</v>
      </c>
    </row>
    <row r="147" spans="1:48" ht="16">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-0.14555662459072768</v>
      </c>
      <c r="AS147" s="30">
        <f>SelectedInputs!AS206</f>
        <v>-0.33950705715125573</v>
      </c>
      <c r="AT147" s="30">
        <f>SelectedInputs!AT206</f>
        <v>-1.5485606562585419</v>
      </c>
      <c r="AU147" s="30">
        <f>SelectedInputs!AU206</f>
        <v>-1.5410528073863077</v>
      </c>
      <c r="AV147" s="30">
        <f>SelectedInputs!AV206</f>
        <v>-1.5306580876842877</v>
      </c>
    </row>
    <row r="148" spans="1:48" ht="16">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-0.42276549687748666</v>
      </c>
      <c r="AS149" s="30">
        <f>-SUM(AS146:AS147)</f>
        <v>-0.479376172028672</v>
      </c>
      <c r="AT149" s="30">
        <f>-SUM(AT146:AT147)</f>
        <v>-3.0971213125170927E-2</v>
      </c>
      <c r="AU149" s="30">
        <f>-SUM(AU146:AU147)</f>
        <v>-3.0821056147726233E-2</v>
      </c>
      <c r="AV149" s="30">
        <f>-SUM(AV146:AV147)</f>
        <v>-3.061316175368578E-2</v>
      </c>
    </row>
    <row r="150" spans="1:48" ht="16">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-0.90466445218562275</v>
      </c>
      <c r="AS150" s="30">
        <f>SUM(AS143:AS144) + SUM(AS146:AS147)</f>
        <v>-0.57472354200170672</v>
      </c>
      <c r="AT150" s="30">
        <f>SUM(AT143:AT144) + SUM(AT146:AT147)</f>
        <v>0.18155886778762742</v>
      </c>
      <c r="AU150" s="30">
        <f>SUM(AU143:AU144) + SUM(AU146:AU147)</f>
        <v>0.23473120896199107</v>
      </c>
      <c r="AV150" s="30">
        <f>SUM(AV143:AV144) + SUM(AV146:AV147)</f>
        <v>0.34582345276923387</v>
      </c>
    </row>
    <row r="151" spans="1:48" ht="16">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0.42276549687748666</v>
      </c>
      <c r="AS151" s="30">
        <f>SUM(AS146:AS147)</f>
        <v>0.479376172028672</v>
      </c>
      <c r="AT151" s="30">
        <f>SUM(AT146:AT147)</f>
        <v>3.0971213125170927E-2</v>
      </c>
      <c r="AU151" s="30">
        <f>SUM(AU146:AU147)</f>
        <v>3.0821056147726233E-2</v>
      </c>
      <c r="AV151" s="30">
        <f>SUM(AV146:AV147)</f>
        <v>3.061316175368578E-2</v>
      </c>
    </row>
    <row r="152" spans="1:48" ht="16">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3.2000000000000001E-2</v>
      </c>
      <c r="AV157" s="49">
        <f>SelectedInputs!AV211</f>
        <v>3.2000000000000001E-2</v>
      </c>
    </row>
    <row r="158" spans="1:48" ht="16">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1">
        <f>SUM(AR157:AR157)</f>
        <v>3.1E-2</v>
      </c>
      <c r="AS158" s="531">
        <f>SUM(AS157:AS157)</f>
        <v>3.1699999999999999E-2</v>
      </c>
      <c r="AT158" s="531">
        <f>SUM(AT157:AT157)</f>
        <v>3.1899999999999998E-2</v>
      </c>
      <c r="AU158" s="531">
        <f>SUM(AU157:AU157)</f>
        <v>3.2000000000000001E-2</v>
      </c>
      <c r="AV158" s="531">
        <f>SUM(AV157:AV157)</f>
        <v>3.2000000000000001E-2</v>
      </c>
    </row>
    <row r="159" spans="1:48" ht="16">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3.0499999999999999E-2</v>
      </c>
      <c r="AV162" s="49">
        <f>SelectedInputs!AV213</f>
        <v>2.47E-2</v>
      </c>
    </row>
    <row r="163" spans="1:49" ht="16">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5.6672045000000004E-2</v>
      </c>
      <c r="AV166" s="112">
        <f>AV162 + AV163 * (AV164 - AV162)</f>
        <v>5.5271982999999997E-2</v>
      </c>
    </row>
    <row r="167" spans="1:49" ht="16">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1">
        <f>(AR158 * AR167) + (AR166* (1 - AR167))</f>
        <v>3.97335776E-2</v>
      </c>
      <c r="AS168" s="531">
        <f>(AS158 * AS167) + (AS166* (1 - AS167))</f>
        <v>4.1370183200000001E-2</v>
      </c>
      <c r="AT168" s="531">
        <f>(AT158 * AT167) + (AT166* (1 - AT167))</f>
        <v>4.09301584E-2</v>
      </c>
      <c r="AU168" s="531">
        <f>(AU158 * AU167) + (AU166* (1 - AU167))</f>
        <v>4.1868818000000002E-2</v>
      </c>
      <c r="AV168" s="531">
        <f>(AV158 * AV167) + (AV166* (1 - AV167))</f>
        <v>4.1308793199999999E-2</v>
      </c>
    </row>
    <row r="169" spans="1:49" ht="16">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4.1868818000000002E-2</v>
      </c>
      <c r="AV169" s="193">
        <f>(AV158 * AV167) + (AV166 * (1 - AV167))</f>
        <v>4.1308793199999999E-2</v>
      </c>
    </row>
    <row r="170" spans="1:49" ht="16">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3"/>
      <c r="AS170" s="483"/>
      <c r="AT170" s="483"/>
      <c r="AU170" s="483"/>
      <c r="AV170" s="483"/>
    </row>
    <row r="171" spans="1:49" ht="16">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1">
        <f>(AR168 - (AR171 * AR158)) / (1 - AR171)</f>
        <v>5.2833944000000001E-2</v>
      </c>
      <c r="AS172" s="531">
        <f>(AS168 - (AS171 * AS158)) / (1 - AS171)</f>
        <v>5.5875458000000003E-2</v>
      </c>
      <c r="AT172" s="531">
        <f>(AT168 - (AT171 * AT158)) / (1 - AT171)</f>
        <v>5.4475396000000002E-2</v>
      </c>
      <c r="AU172" s="531">
        <f>(AU168 - (AU171 * AU158)) / (1 - AU171)</f>
        <v>5.6672045000000004E-2</v>
      </c>
      <c r="AV172" s="531">
        <f>(AV168 - (AV171 * AV158)) / (1 - AV171)</f>
        <v>5.5271982999999997E-2</v>
      </c>
    </row>
    <row r="173" spans="1:49" ht="16">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5.6672045000000004E-2</v>
      </c>
      <c r="AV173" s="193">
        <f>(AV169 - (AV158 * AV171)) / (1 - AV171)</f>
        <v>5.5271982999999997E-2</v>
      </c>
    </row>
    <row r="174" spans="1:49" ht="16">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8"/>
    </row>
    <row r="177" spans="1:49" ht="16">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3.1530000000000002E-2</v>
      </c>
      <c r="AQ177" s="216">
        <f>SelectedInputs!AQ219</f>
        <v>3.0359999999999998E-2</v>
      </c>
      <c r="AR177" s="7"/>
      <c r="AS177" s="7"/>
      <c r="AT177" s="126"/>
      <c r="AU177" s="126"/>
      <c r="AV177" s="126"/>
    </row>
    <row r="178" spans="1:49" ht="16">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4">
        <f>AR158</f>
        <v>3.1E-2</v>
      </c>
      <c r="AS178" s="484">
        <f>AS158</f>
        <v>3.1699999999999999E-2</v>
      </c>
      <c r="AT178" s="484">
        <f>AT158</f>
        <v>3.1899999999999998E-2</v>
      </c>
      <c r="AU178" s="484">
        <f>AU158</f>
        <v>3.2000000000000001E-2</v>
      </c>
      <c r="AV178" s="484">
        <f>AV158</f>
        <v>3.2000000000000001E-2</v>
      </c>
    </row>
    <row r="179" spans="1:49" ht="16">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4">
        <f>AR173</f>
        <v>5.2833944000000001E-2</v>
      </c>
      <c r="AS179" s="484">
        <f>AS173</f>
        <v>5.5875458000000003E-2</v>
      </c>
      <c r="AT179" s="484">
        <f>AT173</f>
        <v>5.4475396000000002E-2</v>
      </c>
      <c r="AU179" s="484">
        <f>AU173</f>
        <v>5.6672045000000004E-2</v>
      </c>
      <c r="AV179" s="484">
        <f>AV173</f>
        <v>5.5271982999999997E-2</v>
      </c>
    </row>
    <row r="180" spans="1:49" ht="16">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3.1530000000000002E-2</v>
      </c>
      <c r="AQ182" s="191">
        <f t="shared" si="10"/>
        <v>3.0359999999999998E-2</v>
      </c>
      <c r="AR182" s="186">
        <f t="shared" si="10"/>
        <v>3.97335776E-2</v>
      </c>
      <c r="AS182" s="186">
        <f t="shared" si="10"/>
        <v>4.1370183200000001E-2</v>
      </c>
      <c r="AT182" s="186">
        <f t="shared" si="10"/>
        <v>4.09301584E-2</v>
      </c>
      <c r="AU182" s="186">
        <f t="shared" si="10"/>
        <v>4.1868818000000002E-2</v>
      </c>
      <c r="AV182" s="186">
        <f t="shared" si="10"/>
        <v>4.1308793199999999E-2</v>
      </c>
      <c r="AW182" s="508"/>
    </row>
    <row r="183" spans="1:49" ht="16">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1"/>
      <c r="AR183" s="392"/>
      <c r="AS183" s="392"/>
      <c r="AT183" s="392"/>
      <c r="AU183" s="392"/>
      <c r="AV183" s="392"/>
    </row>
    <row r="184" spans="1:49" ht="16">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2"/>
      <c r="AR184" s="390"/>
      <c r="AS184" s="390"/>
      <c r="AT184" s="390"/>
      <c r="AU184" s="390"/>
      <c r="AV184" s="390"/>
    </row>
    <row r="185" spans="1:49" ht="16">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3.3025740650801216E-2</v>
      </c>
      <c r="AT188" s="262">
        <f>'Annual Inflation'!AT24</f>
        <v>4.840649761983018E-2</v>
      </c>
      <c r="AU188" s="262">
        <f>'Annual Inflation'!AU24</f>
        <v>3.5320953108995079E-2</v>
      </c>
      <c r="AV188" s="262">
        <f>'Annual Inflation'!AV24</f>
        <v>3.058865665028776E-2</v>
      </c>
    </row>
    <row r="189" spans="1:49" ht="16">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3.2148357289527585E-2</v>
      </c>
      <c r="AT189" s="262">
        <f>'Annual Inflation'!AT27</f>
        <v>3.9787011293574315E-2</v>
      </c>
      <c r="AU189" s="262">
        <f>'Annual Inflation'!AU27</f>
        <v>2.3493774810292134E-2</v>
      </c>
      <c r="AV189" s="262">
        <f>'Annual Inflation'!AV27</f>
        <v>2.0310356376031402E-2</v>
      </c>
    </row>
    <row r="190" spans="1:49" ht="16">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5"/>
      <c r="AR191" s="128">
        <f>'Annual Inflation'!AR34</f>
        <v>0.03</v>
      </c>
      <c r="AS191" s="128">
        <f>'Annual Inflation'!AS34</f>
        <v>0.03</v>
      </c>
      <c r="AT191" s="128">
        <f>'Annual Inflation'!AT34</f>
        <v>0.03</v>
      </c>
      <c r="AU191" s="128">
        <f>'Annual Inflation'!AU34</f>
        <v>0.03</v>
      </c>
      <c r="AV191" s="128">
        <f>'Annual Inflation'!AV34</f>
        <v>0.03</v>
      </c>
    </row>
    <row r="192" spans="1:49" ht="16">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5"/>
      <c r="AR192" s="128">
        <f>'Annual Inflation'!AR35</f>
        <v>0.02</v>
      </c>
      <c r="AS192" s="128">
        <f>'Annual Inflation'!AS35</f>
        <v>0.02</v>
      </c>
      <c r="AT192" s="128">
        <f>'Annual Inflation'!AT35</f>
        <v>0.02</v>
      </c>
      <c r="AU192" s="128">
        <f>'Annual Inflation'!AU35</f>
        <v>0.02</v>
      </c>
      <c r="AV192" s="128">
        <f>'Annual Inflation'!AV35</f>
        <v>0.02</v>
      </c>
    </row>
    <row r="193" spans="1:48" ht="16">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1.321792585589326</v>
      </c>
      <c r="AT194" s="256">
        <f>'Annual Inflation'!AT32</f>
        <v>1.3743827621199309</v>
      </c>
      <c r="AU194" s="256">
        <f>'Annual Inflation'!AU32</f>
        <v>1.4066722012363251</v>
      </c>
      <c r="AV194" s="256">
        <f>'Annual Inflation'!AV32</f>
        <v>1.4352422149476913</v>
      </c>
    </row>
    <row r="195" spans="1:48" ht="16">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1.3499787750115915</v>
      </c>
      <c r="AT195" s="256">
        <f>'Annual Inflation'!AT46</f>
        <v>1.3914988566761421</v>
      </c>
      <c r="AU195" s="256">
        <f>'Annual Inflation'!AU46</f>
        <v>1.420885888499307</v>
      </c>
      <c r="AV195" s="256">
        <f>'Annual Inflation'!AV46</f>
        <v>1.4485259715670376</v>
      </c>
    </row>
    <row r="196" spans="1:48" ht="16">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3.7907505686125997E-2</v>
      </c>
      <c r="AT196" s="126">
        <f t="shared" si="11"/>
        <v>3.0756099601783937E-2</v>
      </c>
      <c r="AU196" s="126">
        <f t="shared" si="11"/>
        <v>2.1118976621627539E-2</v>
      </c>
      <c r="AV196" s="126">
        <f t="shared" si="11"/>
        <v>1.9452711362291764E-2</v>
      </c>
    </row>
    <row r="197" spans="1:48" ht="16">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v>
      </c>
      <c r="AS209" s="262">
        <f>SelectedInputs!$I234</f>
        <v>0.7</v>
      </c>
      <c r="AT209" s="262">
        <f>SelectedInputs!$I234</f>
        <v>0.7</v>
      </c>
      <c r="AU209" s="262">
        <f>SelectedInputs!$I234</f>
        <v>0.7</v>
      </c>
      <c r="AV209" s="262">
        <f>SelectedInputs!$I234</f>
        <v>0.7</v>
      </c>
    </row>
    <row r="210" spans="1:48" ht="16">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
      <c r="A218" s="82"/>
      <c r="B218" s="82"/>
      <c r="C218" s="82"/>
      <c r="D218" s="82"/>
      <c r="E218" s="41" t="s">
        <v>277</v>
      </c>
      <c r="F218" s="2"/>
      <c r="G218" s="2" t="s">
        <v>278</v>
      </c>
      <c r="H218" s="2"/>
      <c r="I218" s="30">
        <f>SelectedInputs!I245</f>
        <v>20</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
      <c r="A219" s="82"/>
      <c r="B219" s="7"/>
      <c r="C219" s="7"/>
      <c r="D219" s="7"/>
      <c r="E219" s="7" t="s">
        <v>272</v>
      </c>
      <c r="F219" s="7"/>
      <c r="G219" s="2" t="s">
        <v>101</v>
      </c>
      <c r="H219" s="7"/>
      <c r="I219" s="30">
        <f>SelectedInputs!I241</f>
        <v>35.959466792851771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
      <c r="A220" s="2"/>
      <c r="B220" s="82"/>
      <c r="C220" s="82"/>
      <c r="D220" s="82"/>
      <c r="E220" s="82" t="s">
        <v>273</v>
      </c>
      <c r="F220" s="82"/>
      <c r="G220" s="82" t="s">
        <v>274</v>
      </c>
      <c r="H220" s="82"/>
      <c r="I220" s="486">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
      <c r="A221" s="2"/>
      <c r="B221" s="82"/>
      <c r="C221" s="82"/>
      <c r="D221" s="82"/>
      <c r="E221" s="41" t="s">
        <v>275</v>
      </c>
      <c r="F221" s="2"/>
      <c r="G221" s="2" t="s">
        <v>276</v>
      </c>
      <c r="H221" s="2"/>
      <c r="I221" s="30">
        <f>SelectedInputs!I243</f>
        <v>12</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
      <c r="A226" s="82"/>
      <c r="B226" s="82"/>
      <c r="C226" s="82"/>
      <c r="D226" s="82"/>
      <c r="E226" s="41" t="s">
        <v>279</v>
      </c>
      <c r="F226" s="2"/>
      <c r="G226" s="2" t="s">
        <v>278</v>
      </c>
      <c r="H226" s="2"/>
      <c r="I226" s="30"/>
      <c r="J226" s="43"/>
      <c r="K226" s="30">
        <f>SelectedInputs!K246</f>
        <v>38</v>
      </c>
      <c r="L226" s="30">
        <f>SelectedInputs!L246</f>
        <v>38</v>
      </c>
      <c r="M226" s="30">
        <f>SelectedInputs!M246</f>
        <v>38</v>
      </c>
      <c r="N226" s="30">
        <f>SelectedInputs!N246</f>
        <v>38</v>
      </c>
      <c r="O226" s="30">
        <f>SelectedInputs!O246</f>
        <v>38</v>
      </c>
      <c r="P226" s="30">
        <f>SelectedInputs!P246</f>
        <v>38</v>
      </c>
      <c r="Q226" s="30">
        <f>SelectedInputs!Q246</f>
        <v>38</v>
      </c>
      <c r="R226" s="30">
        <f>SelectedInputs!R246</f>
        <v>38</v>
      </c>
      <c r="S226" s="30">
        <f>SelectedInputs!S246</f>
        <v>38</v>
      </c>
      <c r="T226" s="30">
        <f>SelectedInputs!T246</f>
        <v>38</v>
      </c>
      <c r="U226" s="30">
        <f>SelectedInputs!U246</f>
        <v>38</v>
      </c>
      <c r="V226" s="30">
        <f>SelectedInputs!V246</f>
        <v>38</v>
      </c>
      <c r="W226" s="30">
        <f>SelectedInputs!W246</f>
        <v>38</v>
      </c>
      <c r="X226" s="30">
        <f>SelectedInputs!X246</f>
        <v>38</v>
      </c>
      <c r="Y226" s="30">
        <f>SelectedInputs!Y246</f>
        <v>38</v>
      </c>
      <c r="Z226" s="30">
        <f>SelectedInputs!Z246</f>
        <v>38</v>
      </c>
      <c r="AA226" s="30">
        <f>SelectedInputs!AA246</f>
        <v>38</v>
      </c>
      <c r="AB226" s="30">
        <f>SelectedInputs!AB246</f>
        <v>38</v>
      </c>
      <c r="AC226" s="30">
        <f>SelectedInputs!AC246</f>
        <v>38</v>
      </c>
      <c r="AD226" s="30">
        <f>SelectedInputs!AD246</f>
        <v>38</v>
      </c>
      <c r="AE226" s="30">
        <f>SelectedInputs!AE246</f>
        <v>38</v>
      </c>
      <c r="AF226" s="30">
        <f>SelectedInputs!AF246</f>
        <v>38</v>
      </c>
      <c r="AG226" s="30">
        <f>SelectedInputs!AG246</f>
        <v>38</v>
      </c>
      <c r="AH226" s="30">
        <f>SelectedInputs!AH246</f>
        <v>38</v>
      </c>
      <c r="AI226" s="30">
        <f>SelectedInputs!AI246</f>
        <v>38</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
      <c r="A229" s="82"/>
      <c r="B229" s="82"/>
      <c r="C229" s="82"/>
      <c r="D229" s="82"/>
      <c r="E229" s="7" t="s">
        <v>283</v>
      </c>
      <c r="F229" s="82"/>
      <c r="G229" s="2" t="s">
        <v>101</v>
      </c>
      <c r="H229" s="82"/>
      <c r="I229" s="82"/>
      <c r="J229" s="43"/>
      <c r="K229" s="30">
        <f>SelectedInputs!K250</f>
        <v>141.70383586083852</v>
      </c>
      <c r="L229" s="30">
        <f>SelectedInputs!L250</f>
        <v>119.1053156320512</v>
      </c>
      <c r="M229" s="30">
        <f>SelectedInputs!M250</f>
        <v>114.84493886760769</v>
      </c>
      <c r="N229" s="30">
        <f>SelectedInputs!N250</f>
        <v>121.88382221755786</v>
      </c>
      <c r="O229" s="30">
        <f>SelectedInputs!O250</f>
        <v>110.02886078606286</v>
      </c>
      <c r="P229" s="30">
        <f>SelectedInputs!P250</f>
        <v>117.06774413601302</v>
      </c>
      <c r="Q229" s="30">
        <f>SelectedInputs!Q250</f>
        <v>90.764548459883514</v>
      </c>
      <c r="R229" s="30">
        <f>SelectedInputs!R250</f>
        <v>100.39670462297319</v>
      </c>
      <c r="S229" s="30">
        <f>SelectedInputs!S250</f>
        <v>111.19383237494276</v>
      </c>
      <c r="T229" s="30">
        <f>SelectedInputs!T250</f>
        <v>103.09538122432622</v>
      </c>
      <c r="U229" s="30">
        <f>SelectedInputs!U250</f>
        <v>109.03541200505889</v>
      </c>
      <c r="V229" s="30">
        <f>SelectedInputs!V250</f>
        <v>141.77522166307213</v>
      </c>
      <c r="W229" s="30">
        <f>SelectedInputs!W250</f>
        <v>131.24376820248207</v>
      </c>
      <c r="X229" s="30">
        <f>SelectedInputs!X250</f>
        <v>131.38557793305023</v>
      </c>
      <c r="Y229" s="30">
        <f>SelectedInputs!Y250</f>
        <v>116.38578715518474</v>
      </c>
      <c r="Z229" s="30">
        <f>SelectedInputs!Z250</f>
        <v>118.21000616407133</v>
      </c>
      <c r="AA229" s="30">
        <f>SelectedInputs!AA250</f>
        <v>133.78107433545651</v>
      </c>
      <c r="AB229" s="30">
        <f>SelectedInputs!AB250</f>
        <v>144.83278417437833</v>
      </c>
      <c r="AC229" s="30">
        <f>SelectedInputs!AC250</f>
        <v>142.02723675021343</v>
      </c>
      <c r="AD229" s="30">
        <f>SelectedInputs!AD250</f>
        <v>117.78128364610983</v>
      </c>
      <c r="AE229" s="30">
        <f>SelectedInputs!AE250</f>
        <v>146.45264432823487</v>
      </c>
      <c r="AF229" s="30">
        <f>SelectedInputs!AF250</f>
        <v>160.98914503286744</v>
      </c>
      <c r="AG229" s="30">
        <f>SelectedInputs!AG250</f>
        <v>155.78448247749279</v>
      </c>
      <c r="AH229" s="30">
        <f>SelectedInputs!AH250</f>
        <v>179.56202459360057</v>
      </c>
      <c r="AI229" s="30">
        <f>SelectedInputs!AI250</f>
        <v>187.99090806333683</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1.5992440840751951</v>
      </c>
      <c r="AI231" s="166">
        <f>SelectedInputs!AI252</f>
        <v>1.3540849121104173</v>
      </c>
      <c r="AJ231" s="82"/>
      <c r="AK231" s="82"/>
      <c r="AL231" s="82"/>
      <c r="AM231" s="82"/>
      <c r="AN231" s="82"/>
      <c r="AO231" s="82"/>
      <c r="AP231" s="82"/>
      <c r="AQ231" s="147"/>
      <c r="AR231" s="82"/>
      <c r="AS231" s="82"/>
      <c r="AT231" s="82"/>
      <c r="AU231" s="82"/>
      <c r="AV231" s="82"/>
    </row>
    <row r="232" spans="1:48" ht="16">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186.92546132708756</v>
      </c>
      <c r="AK235" s="30">
        <f>SelectedInputs!AK342 * Legacy!$I12</f>
        <v>192.69036110532994</v>
      </c>
      <c r="AL235" s="30">
        <f>SelectedInputs!AL342 * Legacy!$I12</f>
        <v>196.70986554285136</v>
      </c>
      <c r="AM235" s="30">
        <f>SelectedInputs!AM342 * Legacy!$I12</f>
        <v>200.52551994509659</v>
      </c>
      <c r="AN235" s="30">
        <f>SelectedInputs!AN342 * Legacy!$I12</f>
        <v>193.19467847520997</v>
      </c>
      <c r="AO235" s="30">
        <f>SelectedInputs!AO342 * Legacy!$I12</f>
        <v>186.49410307673955</v>
      </c>
      <c r="AP235" s="30">
        <f>SelectedInputs!AP342 * Legacy!$I12</f>
        <v>177.03545799093234</v>
      </c>
      <c r="AQ235" s="218">
        <f>SelectedInputs!AQ342 * Legacy!$I12</f>
        <v>178.41711679190453</v>
      </c>
      <c r="AR235" s="30"/>
      <c r="AS235" s="30"/>
      <c r="AT235" s="30"/>
      <c r="AU235" s="30"/>
      <c r="AV235" s="30"/>
    </row>
    <row r="236" spans="1:48" ht="16">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
      <c r="A239" s="82"/>
      <c r="B239" s="82"/>
      <c r="C239" s="82"/>
      <c r="D239" s="82"/>
      <c r="E239" s="82" t="s">
        <v>253</v>
      </c>
      <c r="F239" s="82"/>
      <c r="G239" s="2" t="s">
        <v>206</v>
      </c>
      <c r="H239" s="2" t="s">
        <v>287</v>
      </c>
      <c r="I239" s="487">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
      <c r="A240" s="82"/>
      <c r="B240" s="82"/>
      <c r="C240" s="82"/>
      <c r="D240" s="82"/>
      <c r="E240" s="21" t="s">
        <v>288</v>
      </c>
      <c r="F240" s="82"/>
      <c r="G240" s="2" t="s">
        <v>246</v>
      </c>
      <c r="H240" s="21" t="s">
        <v>289</v>
      </c>
      <c r="I240" s="487">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
      <c r="A241" s="82"/>
      <c r="B241" s="82"/>
      <c r="C241" s="82"/>
      <c r="D241" s="82"/>
      <c r="E241" s="21" t="s">
        <v>290</v>
      </c>
      <c r="F241" s="82"/>
      <c r="G241" s="2" t="s">
        <v>246</v>
      </c>
      <c r="H241" s="21" t="s">
        <v>291</v>
      </c>
      <c r="I241" s="487">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
      <c r="A242" s="82"/>
      <c r="B242" s="82"/>
      <c r="C242" s="82"/>
      <c r="D242" s="82"/>
      <c r="E242" s="56" t="s">
        <v>292</v>
      </c>
      <c r="F242" s="82"/>
      <c r="G242" s="2" t="s">
        <v>206</v>
      </c>
      <c r="H242" s="21" t="s">
        <v>293</v>
      </c>
      <c r="I242" s="487">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
      <c r="A243" s="82"/>
      <c r="B243" s="82"/>
      <c r="C243" s="82"/>
      <c r="D243" s="82"/>
      <c r="E243" s="56" t="s">
        <v>294</v>
      </c>
      <c r="F243" s="82"/>
      <c r="G243" s="2" t="s">
        <v>206</v>
      </c>
      <c r="H243" s="21" t="s">
        <v>295</v>
      </c>
      <c r="I243" s="487">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518.44197616319991</v>
      </c>
      <c r="AR247" s="30">
        <f>SelectedInputs!AR264</f>
        <v>542.94570547950002</v>
      </c>
      <c r="AS247" s="30">
        <f>SelectedInputs!AS264</f>
        <v>599.38234671000009</v>
      </c>
      <c r="AT247" s="30">
        <f>SelectedInputs!AT264</f>
        <v>490.3259263112875</v>
      </c>
      <c r="AU247" s="30">
        <f>SelectedInputs!AU264</f>
        <v>550.63276408662955</v>
      </c>
      <c r="AV247" s="30">
        <f>SelectedInputs!AV264</f>
        <v>0</v>
      </c>
    </row>
    <row r="248" spans="1:48" ht="16">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518.44197616319991</v>
      </c>
      <c r="AR248" s="30">
        <f>AR247 - (AR251+AR252)*InputSummary!AR18</f>
        <v>542.94570547950002</v>
      </c>
      <c r="AS248" s="30">
        <f>AS247 - (AS251+AS252)*InputSummary!AS18</f>
        <v>599.38234671000009</v>
      </c>
      <c r="AT248" s="30">
        <f>AT247 - (AT251+AT252)*InputSummary!AT18</f>
        <v>490.3259263112875</v>
      </c>
      <c r="AU248" s="30">
        <f>AU247 - (AU251+AU252)*InputSummary!AU18</f>
        <v>550.63276408662955</v>
      </c>
      <c r="AV248" s="30">
        <f>AV247 - (AV251+AV252)*InputSummary!AV18</f>
        <v>0</v>
      </c>
    </row>
    <row r="249" spans="1:48" ht="16">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531.3259489622983</v>
      </c>
      <c r="AS249" s="30">
        <f>SelectedInputs!AS265</f>
        <v>660.30339942531361</v>
      </c>
      <c r="AT249" s="30">
        <f>SelectedInputs!AT265</f>
        <v>490.27779617688293</v>
      </c>
      <c r="AU249" s="30">
        <f>SelectedInputs!AU265</f>
        <v>550.59634768885724</v>
      </c>
      <c r="AV249" s="30">
        <f>SelectedInputs!AV265</f>
        <v>0</v>
      </c>
    </row>
    <row r="250" spans="1:48" ht="16">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358.78946220581747</v>
      </c>
      <c r="AS250" s="30">
        <f>SelectedInputs!AS266</f>
        <v>358.78946220581747</v>
      </c>
      <c r="AT250" s="30">
        <f>SelectedInputs!AT266</f>
        <v>347.95778859070782</v>
      </c>
      <c r="AU250" s="30">
        <f>SelectedInputs!AU266</f>
        <v>357.98596846210404</v>
      </c>
      <c r="AV250" s="30">
        <f>SelectedInputs!AV266</f>
        <v>0</v>
      </c>
    </row>
    <row r="251" spans="1:48" ht="16">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0</v>
      </c>
      <c r="AS251" s="30">
        <f>SelectedInputs!AS267</f>
        <v>0</v>
      </c>
      <c r="AT251" s="30">
        <f>SelectedInputs!AT267</f>
        <v>0</v>
      </c>
      <c r="AU251" s="30">
        <f>SelectedInputs!AU267</f>
        <v>0</v>
      </c>
      <c r="AV251" s="30">
        <f>SelectedInputs!AV267</f>
        <v>0</v>
      </c>
    </row>
    <row r="252" spans="1:48" ht="16">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6">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0</v>
      </c>
      <c r="AS253" s="30">
        <f>SelectedInputs!AS269</f>
        <v>0</v>
      </c>
      <c r="AT253" s="30">
        <f>SelectedInputs!AT269</f>
        <v>0</v>
      </c>
      <c r="AU253" s="30">
        <f>SelectedInputs!AU269</f>
        <v>0</v>
      </c>
      <c r="AV253" s="30">
        <f>SelectedInputs!AV269</f>
        <v>0</v>
      </c>
    </row>
    <row r="254" spans="1:48" ht="16">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6">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6">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0"/>
      <c r="AR257" s="23"/>
      <c r="AS257" s="23"/>
      <c r="AT257" s="23"/>
      <c r="AU257" s="23"/>
      <c r="AV257" s="23"/>
    </row>
    <row r="258" spans="1:48" ht="16">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6">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6">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6">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0.14000000000000001</v>
      </c>
      <c r="AV264" s="262">
        <f>SelectedInputs!AV286</f>
        <v>0.14000000000000001</v>
      </c>
    </row>
    <row r="265" spans="1:48" ht="16">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6">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6">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2.2200000000000001E-2</v>
      </c>
      <c r="AS267" s="262">
        <f>SelectedInputs!AS289</f>
        <v>2.2200000000000001E-2</v>
      </c>
      <c r="AT267" s="262">
        <f>SelectedInputs!AT289</f>
        <v>2.2200000000000001E-2</v>
      </c>
      <c r="AU267" s="262">
        <f>SelectedInputs!AU289</f>
        <v>2.2200000000000001E-2</v>
      </c>
      <c r="AV267" s="262">
        <f>SelectedInputs!AV289</f>
        <v>2.2200000000000001E-2</v>
      </c>
    </row>
    <row r="268" spans="1:48" ht="16">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6">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6">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50.899217296015387</v>
      </c>
      <c r="AS271" s="30"/>
      <c r="AT271" s="30"/>
      <c r="AU271" s="30"/>
      <c r="AV271" s="30"/>
    </row>
    <row r="272" spans="1:48" ht="16">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1406.2597625255362</v>
      </c>
      <c r="AS272" s="30"/>
      <c r="AT272" s="30"/>
      <c r="AU272" s="30"/>
      <c r="AV272" s="30"/>
    </row>
    <row r="273" spans="1:57" ht="16">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0</v>
      </c>
      <c r="AS273" s="30"/>
      <c r="AT273" s="30"/>
      <c r="AU273" s="30"/>
      <c r="AV273" s="30"/>
    </row>
    <row r="274" spans="1:57" s="82" customFormat="1" ht="16">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0</v>
      </c>
      <c r="AR274" s="455"/>
      <c r="AS274" s="184"/>
      <c r="AT274" s="184"/>
      <c r="AU274" s="184"/>
      <c r="AV274" s="184"/>
      <c r="AW274" s="184"/>
      <c r="AX274" s="184"/>
      <c r="AY274" s="184"/>
      <c r="AZ274" s="184"/>
      <c r="BA274" s="184"/>
      <c r="BC274"/>
      <c r="BD274"/>
      <c r="BE274"/>
    </row>
    <row r="275" spans="1:57" ht="16">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6">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6">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6">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6">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-27.131662349681562</v>
      </c>
      <c r="AS281" s="30">
        <f>SelectedInputs!AS277</f>
        <v>-33.315165602573281</v>
      </c>
      <c r="AT281" s="30">
        <f>SelectedInputs!AT277</f>
        <v>-16.99993326748773</v>
      </c>
      <c r="AU281" s="30">
        <f>SelectedInputs!AU277</f>
        <v>-20.624038504408205</v>
      </c>
      <c r="AV281" s="30">
        <f>SelectedInputs!AV277</f>
        <v>-21.834666565269888</v>
      </c>
    </row>
    <row r="282" spans="1:57" ht="16">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1527.07431544</v>
      </c>
      <c r="AS282" s="30">
        <f>SelectedInputs!AS278</f>
        <v>1592</v>
      </c>
      <c r="AT282" s="30">
        <f>SelectedInputs!AT278</f>
        <v>1799.5685129055507</v>
      </c>
      <c r="AU282" s="30">
        <f>SelectedInputs!AU278</f>
        <v>1973.1011818188254</v>
      </c>
      <c r="AV282" s="30">
        <f>SelectedInputs!AV278</f>
        <v>2108.4226689379789</v>
      </c>
    </row>
    <row r="283" spans="1:57" ht="16">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77.828915998955878</v>
      </c>
      <c r="AS283" s="30">
        <f>SelectedInputs!AS279</f>
        <v>78.676934930000016</v>
      </c>
      <c r="AT283" s="30">
        <f>SelectedInputs!AT279</f>
        <v>89.745244534881294</v>
      </c>
      <c r="AU283" s="30">
        <f>SelectedInputs!AU279</f>
        <v>96.338285149734133</v>
      </c>
      <c r="AV283" s="30">
        <f>SelectedInputs!AV279</f>
        <v>98.218415946533938</v>
      </c>
    </row>
    <row r="284" spans="1:57" ht="16">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6">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1.5418188657920666</v>
      </c>
      <c r="AS286" s="30">
        <f>SelectedInputs!AS291</f>
        <v>1.5421689490890813</v>
      </c>
      <c r="AT286" s="30">
        <f>SelectedInputs!AT291</f>
        <v>1.1986919632990878</v>
      </c>
      <c r="AU286" s="30">
        <f>SelectedInputs!AU291</f>
        <v>1.2051150219812068</v>
      </c>
      <c r="AV286" s="30">
        <f>SelectedInputs!AV291</f>
        <v>1.2030871425295599</v>
      </c>
    </row>
    <row r="287" spans="1:57" ht="16">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8">
        <f>SelectedInputs!AR292</f>
        <v>0.65</v>
      </c>
      <c r="AS287" s="488">
        <f>SelectedInputs!AS292</f>
        <v>0.64</v>
      </c>
      <c r="AT287" s="488">
        <f>SelectedInputs!AT292</f>
        <v>0.63</v>
      </c>
      <c r="AU287" s="488">
        <f>SelectedInputs!AU292</f>
        <v>0.61</v>
      </c>
      <c r="AV287" s="488">
        <f>SelectedInputs!AV292</f>
        <v>0.6</v>
      </c>
    </row>
    <row r="288" spans="1:57" ht="16">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6">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6">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6">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45.101960844937651</v>
      </c>
      <c r="AS294" s="7">
        <f t="shared" si="12"/>
        <v>42.945834885741519</v>
      </c>
      <c r="AT294" s="7">
        <f t="shared" si="12"/>
        <v>72.247432218564668</v>
      </c>
      <c r="AU294" s="7">
        <f t="shared" si="12"/>
        <v>72.738045705547705</v>
      </c>
      <c r="AV294" s="7">
        <f t="shared" si="12"/>
        <v>75.446359770919827</v>
      </c>
    </row>
    <row r="295" spans="1:48" ht="16">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70.199981660094849</v>
      </c>
      <c r="AS295" s="7">
        <f t="shared" si="12"/>
        <v>83.70636463853188</v>
      </c>
      <c r="AT295" s="7">
        <f t="shared" si="12"/>
        <v>83.709593729547478</v>
      </c>
      <c r="AU295" s="7">
        <f t="shared" si="12"/>
        <v>92.067952783043935</v>
      </c>
      <c r="AV295" s="7">
        <f t="shared" si="12"/>
        <v>93.211409540162663</v>
      </c>
    </row>
    <row r="296" spans="1:48" ht="16">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42.256883342797572</v>
      </c>
      <c r="AS296" s="7">
        <f t="shared" si="12"/>
        <v>49.166396449831907</v>
      </c>
      <c r="AT296" s="7">
        <f t="shared" si="12"/>
        <v>38.809333926380674</v>
      </c>
      <c r="AU296" s="7">
        <f t="shared" si="12"/>
        <v>45.017847090510848</v>
      </c>
      <c r="AV296" s="7">
        <f t="shared" si="12"/>
        <v>54.01152202777827</v>
      </c>
    </row>
    <row r="297" spans="1:48" ht="16">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24.172695943505722</v>
      </c>
      <c r="AS297" s="7">
        <f t="shared" si="12"/>
        <v>35.601220681232832</v>
      </c>
      <c r="AT297" s="7">
        <f t="shared" si="12"/>
        <v>26.447058296291981</v>
      </c>
      <c r="AU297" s="7">
        <f t="shared" si="12"/>
        <v>25.927047378415335</v>
      </c>
      <c r="AV297" s="7">
        <f t="shared" si="12"/>
        <v>25.732678842364493</v>
      </c>
    </row>
    <row r="298" spans="1:48" ht="16">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3.6653426687486892</v>
      </c>
      <c r="AS298" s="7">
        <f t="shared" si="12"/>
        <v>3.7094841360151025</v>
      </c>
      <c r="AT298" s="7">
        <f t="shared" si="12"/>
        <v>3.6972764076724078</v>
      </c>
      <c r="AU298" s="7">
        <f t="shared" si="12"/>
        <v>3.7951360986319251</v>
      </c>
      <c r="AV298" s="7">
        <f t="shared" si="12"/>
        <v>3.6381849454867505</v>
      </c>
    </row>
    <row r="299" spans="1:48" ht="16">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15.555305100053603</v>
      </c>
      <c r="AS299" s="7">
        <f t="shared" si="12"/>
        <v>15.44397132738248</v>
      </c>
      <c r="AT299" s="7">
        <f t="shared" si="12"/>
        <v>15.219298441839326</v>
      </c>
      <c r="AU299" s="7">
        <f t="shared" si="12"/>
        <v>14.804031078161294</v>
      </c>
      <c r="AV299" s="7">
        <f t="shared" si="12"/>
        <v>14.60910178454176</v>
      </c>
    </row>
    <row r="300" spans="1:48" ht="16">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94.79355749950706</v>
      </c>
      <c r="AS300" s="7">
        <f t="shared" si="12"/>
        <v>91.983068930423002</v>
      </c>
      <c r="AT300" s="7">
        <f t="shared" si="12"/>
        <v>94.846128940490175</v>
      </c>
      <c r="AU300" s="7">
        <f t="shared" si="12"/>
        <v>90.885671591028938</v>
      </c>
      <c r="AV300" s="7">
        <f t="shared" si="12"/>
        <v>90.560897558287792</v>
      </c>
    </row>
    <row r="301" spans="1:48" ht="16">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6">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6">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21.76</v>
      </c>
      <c r="AS303" s="7">
        <f t="shared" si="13"/>
        <v>25.6</v>
      </c>
      <c r="AT303" s="7">
        <f t="shared" si="13"/>
        <v>22.64</v>
      </c>
      <c r="AU303" s="7">
        <f t="shared" si="13"/>
        <v>22.21</v>
      </c>
      <c r="AV303" s="7">
        <f t="shared" si="13"/>
        <v>22.87</v>
      </c>
    </row>
    <row r="304" spans="1:48" ht="16">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40.21</v>
      </c>
      <c r="AS304" s="7">
        <f t="shared" si="13"/>
        <v>43.95</v>
      </c>
      <c r="AT304" s="7">
        <f t="shared" si="13"/>
        <v>44.23</v>
      </c>
      <c r="AU304" s="7">
        <f t="shared" si="13"/>
        <v>44.77</v>
      </c>
      <c r="AV304" s="7">
        <f t="shared" si="13"/>
        <v>42.96</v>
      </c>
    </row>
    <row r="305" spans="1:48" ht="16">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32.65</v>
      </c>
      <c r="AS305" s="7">
        <f t="shared" si="13"/>
        <v>34.369999999999997</v>
      </c>
      <c r="AT305" s="7">
        <f t="shared" si="13"/>
        <v>29.04</v>
      </c>
      <c r="AU305" s="7">
        <f t="shared" si="13"/>
        <v>30.35</v>
      </c>
      <c r="AV305" s="7">
        <f t="shared" si="13"/>
        <v>27.41</v>
      </c>
    </row>
    <row r="306" spans="1:48" ht="16">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25.36</v>
      </c>
      <c r="AS306" s="7">
        <f t="shared" si="13"/>
        <v>25.05</v>
      </c>
      <c r="AT306" s="7">
        <f t="shared" si="13"/>
        <v>24.51</v>
      </c>
      <c r="AU306" s="7">
        <f t="shared" si="13"/>
        <v>24.1</v>
      </c>
      <c r="AV306" s="7">
        <f t="shared" si="13"/>
        <v>23.66</v>
      </c>
    </row>
    <row r="307" spans="1:48" ht="16">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3.85</v>
      </c>
      <c r="AS307" s="7">
        <f t="shared" si="13"/>
        <v>3.87</v>
      </c>
      <c r="AT307" s="7">
        <f t="shared" si="13"/>
        <v>3.81</v>
      </c>
      <c r="AU307" s="7">
        <f t="shared" si="13"/>
        <v>3.87</v>
      </c>
      <c r="AV307" s="7">
        <f t="shared" si="13"/>
        <v>3.68</v>
      </c>
    </row>
    <row r="308" spans="1:48" ht="16">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16.309999999999999</v>
      </c>
      <c r="AS308" s="7">
        <f t="shared" si="13"/>
        <v>16.100000000000001</v>
      </c>
      <c r="AT308" s="7">
        <f t="shared" si="13"/>
        <v>15.68</v>
      </c>
      <c r="AU308" s="7">
        <f t="shared" si="13"/>
        <v>15.11</v>
      </c>
      <c r="AV308" s="7">
        <f t="shared" si="13"/>
        <v>14.78</v>
      </c>
    </row>
    <row r="309" spans="1:48" ht="16">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93.05</v>
      </c>
      <c r="AS309" s="7">
        <f t="shared" si="13"/>
        <v>90.23</v>
      </c>
      <c r="AT309" s="7">
        <f t="shared" si="13"/>
        <v>88.25</v>
      </c>
      <c r="AU309" s="7">
        <f t="shared" si="13"/>
        <v>83.89</v>
      </c>
      <c r="AV309" s="7">
        <f t="shared" si="13"/>
        <v>82.16</v>
      </c>
    </row>
    <row r="310" spans="1:48" ht="16">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6">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6">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-1.1137508218239438</v>
      </c>
      <c r="AS312" s="7" cm="1">
        <f t="array" ref="AS312">SUMPRODUCT(--($AM$384:$AM$431=1),AS$331:AS$378,$AO$384:$AO$431)</f>
        <v>-0.96814285258815524</v>
      </c>
      <c r="AT312" s="7" cm="1">
        <f t="array" ref="AT312">SUMPRODUCT(--($AM$384:$AM$431=1),AT$331:AT$378,$AO$384:$AO$431)</f>
        <v>-0.67988632101988111</v>
      </c>
      <c r="AU312" s="7" cm="1">
        <f t="array" ref="AU312">SUMPRODUCT(--($AM$384:$AM$431=1),AU$331:AU$378,$AO$384:$AO$431)</f>
        <v>-0.45153761894329597</v>
      </c>
      <c r="AV312" s="7" cm="1">
        <f t="array" ref="AV312">SUMPRODUCT(--($AM$384:$AM$431=1),AV$331:AV$378,$AO$384:$AO$431)</f>
        <v>-0.25220526590067011</v>
      </c>
    </row>
    <row r="313" spans="1:48" ht="16">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27.432966369403598</v>
      </c>
      <c r="AS313" s="7" cm="1">
        <f t="array" ref="AS313">SUMPRODUCT(--($AM$384:$AM$431=1),AS$331:AS$378,$AP$384:$AP$431)</f>
        <v>30.013619744470599</v>
      </c>
      <c r="AT313" s="7" cm="1">
        <f t="array" ref="AT313">SUMPRODUCT(--($AM$384:$AM$431=1),AT$331:AT$378,$AP$384:$AP$431)</f>
        <v>22.735767197100703</v>
      </c>
      <c r="AU313" s="7" cm="1">
        <f t="array" ref="AU313">SUMPRODUCT(--($AM$384:$AM$431=1),AU$331:AU$378,$AP$384:$AP$431)</f>
        <v>24.292501270950353</v>
      </c>
      <c r="AV313" s="7" cm="1">
        <f t="array" ref="AV313">SUMPRODUCT(--($AM$384:$AM$431=1),AV$331:AV$378,$AP$384:$AP$431)</f>
        <v>24.84943040010565</v>
      </c>
    </row>
    <row r="314" spans="1:48" ht="16">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1.0968833427975748</v>
      </c>
      <c r="AS314" s="7" cm="1">
        <f t="array" ref="AS314">SUMPRODUCT(--($AM$384:$AM$431=1),AS$331:AS$378,$AQ$384:$AQ$431)</f>
        <v>0.31639644983190796</v>
      </c>
      <c r="AT314" s="7" cm="1">
        <f t="array" ref="AT314">SUMPRODUCT(--($AM$384:$AM$431=1),AT$331:AT$378,$AQ$384:$AQ$431)</f>
        <v>2.579333926380674</v>
      </c>
      <c r="AU314" s="7" cm="1">
        <f t="array" ref="AU314">SUMPRODUCT(--($AM$384:$AM$431=1),AU$331:AU$378,$AQ$384:$AQ$431)</f>
        <v>1.7928470905108485</v>
      </c>
      <c r="AV314" s="7" cm="1">
        <f t="array" ref="AV314">SUMPRODUCT(--($AM$384:$AM$431=1),AV$331:AV$378,$AQ$384:$AQ$431)</f>
        <v>2.0665220277782703</v>
      </c>
    </row>
    <row r="315" spans="1:48" ht="16">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-1.1873040564942772</v>
      </c>
      <c r="AS315" s="7" cm="1">
        <f t="array" ref="AS315">SUMPRODUCT(--($AM$384:$AM$431=1),AS$331:AS$378,$AR$384:$AR$431)</f>
        <v>-1.0320799891859131</v>
      </c>
      <c r="AT315" s="7" cm="1">
        <f t="array" ref="AT315">SUMPRODUCT(--($AM$384:$AM$431=1),AT$331:AT$378,$AR$384:$AR$431)</f>
        <v>-0.72478670370802067</v>
      </c>
      <c r="AU315" s="7" cm="1">
        <f t="array" ref="AU315">SUMPRODUCT(--($AM$384:$AM$431=1),AU$331:AU$378,$AR$384:$AR$431)</f>
        <v>-0.48135762158466761</v>
      </c>
      <c r="AV315" s="7" cm="1">
        <f t="array" ref="AV315">SUMPRODUCT(--($AM$384:$AM$431=1),AV$331:AV$378,$AR$384:$AR$431)</f>
        <v>-0.26886115763550755</v>
      </c>
    </row>
    <row r="316" spans="1:48" ht="16">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-0.18465733125131079</v>
      </c>
      <c r="AS316" s="7" cm="1">
        <f t="array" ref="AS316">SUMPRODUCT(--($AM$384:$AM$431=1),AS$331:AS$378,$AS$384:$AS$431)</f>
        <v>-0.16051586398489745</v>
      </c>
      <c r="AT316" s="7" cm="1">
        <f t="array" ref="AT316">SUMPRODUCT(--($AM$384:$AM$431=1),AT$331:AT$378,$AS$384:$AS$431)</f>
        <v>-0.11272359232759238</v>
      </c>
      <c r="AU316" s="7" cm="1">
        <f t="array" ref="AU316">SUMPRODUCT(--($AM$384:$AM$431=1),AU$331:AU$378,$AS$384:$AS$431)</f>
        <v>-7.4863901368075136E-2</v>
      </c>
      <c r="AV316" s="7" cm="1">
        <f t="array" ref="AV316">SUMPRODUCT(--($AM$384:$AM$431=1),AV$331:AV$378,$AS$384:$AS$431)</f>
        <v>-4.181505451324978E-2</v>
      </c>
    </row>
    <row r="317" spans="1:48" ht="16">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-0.75469489994639483</v>
      </c>
      <c r="AS317" s="7" cm="1">
        <f t="array" ref="AS317">SUMPRODUCT(--($AM$384:$AM$431=1),AS$331:AS$378,$AT$384:$AT$431)</f>
        <v>-0.65602867261752107</v>
      </c>
      <c r="AT317" s="7" cm="1">
        <f t="array" ref="AT317">SUMPRODUCT(--($AM$384:$AM$431=1),AT$331:AT$378,$AT$384:$AT$431)</f>
        <v>-0.4607015581606736</v>
      </c>
      <c r="AU317" s="7" cm="1">
        <f t="array" ref="AU317">SUMPRODUCT(--($AM$384:$AM$431=1),AU$331:AU$378,$AT$384:$AT$431)</f>
        <v>-0.30596892183870533</v>
      </c>
      <c r="AV317" s="7" cm="1">
        <f t="array" ref="AV317">SUMPRODUCT(--($AM$384:$AM$431=1),AV$331:AV$378,$AT$384:$AT$431)</f>
        <v>-0.17089821545823991</v>
      </c>
    </row>
    <row r="318" spans="1:48" ht="16">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-3.8170669550214598</v>
      </c>
      <c r="AS318" s="7" cm="1">
        <f t="array" ref="AS318">SUMPRODUCT(--($AM$384:$AM$431=1),AS$331:AS$378,$AU$384:$AU$431)</f>
        <v>-3.2220218962105736</v>
      </c>
      <c r="AT318" s="7" cm="1">
        <f t="array" ref="AT318">SUMPRODUCT(--($AM$384:$AM$431=1),AT$331:AT$378,$AU$384:$AU$431)</f>
        <v>-1.841872470724957</v>
      </c>
      <c r="AU318" s="7" cm="1">
        <f t="array" ref="AU318">SUMPRODUCT(--($AM$384:$AM$431=1),AU$331:AU$378,$AU$384:$AU$431)</f>
        <v>-1.1723298201861914</v>
      </c>
      <c r="AV318" s="7" cm="1">
        <f t="array" ref="AV318">SUMPRODUCT(--($AM$384:$AM$431=1),AV$331:AV$378,$AU$384:$AU$431)</f>
        <v>-0.41328025683600467</v>
      </c>
    </row>
    <row r="319" spans="1:48" ht="16">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6">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6">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24.455711666761591</v>
      </c>
      <c r="AS321" s="7" cm="1">
        <f t="array" ref="AS321">SUMPRODUCT(--($AM$384:$AM$431=2),AS$331:AS$378,$AO$384:$AO$431)</f>
        <v>18.313977738329672</v>
      </c>
      <c r="AT321" s="7" cm="1">
        <f t="array" ref="AT321">SUMPRODUCT(--($AM$384:$AM$431=2),AT$331:AT$378,$AO$384:$AO$431)</f>
        <v>50.287318539584547</v>
      </c>
      <c r="AU321" s="7" cm="1">
        <f t="array" ref="AU321">SUMPRODUCT(--($AM$384:$AM$431=2),AU$331:AU$378,$AO$384:$AO$431)</f>
        <v>50.979583324491003</v>
      </c>
      <c r="AV321" s="7" cm="1">
        <f t="array" ref="AV321">SUMPRODUCT(--($AM$384:$AM$431=2),AV$331:AV$378,$AO$384:$AO$431)</f>
        <v>52.8285650368205</v>
      </c>
    </row>
    <row r="322" spans="1:48" ht="16">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2.5570152906912496</v>
      </c>
      <c r="AS322" s="7" cm="1">
        <f t="array" ref="AS322">SUMPRODUCT(--($AM$384:$AM$431=2),AS$331:AS$378,$AP$384:$AP$431)</f>
        <v>9.7427448940612802</v>
      </c>
      <c r="AT322" s="7" cm="1">
        <f t="array" ref="AT322">SUMPRODUCT(--($AM$384:$AM$431=2),AT$331:AT$378,$AP$384:$AP$431)</f>
        <v>16.743826532446771</v>
      </c>
      <c r="AU322" s="7" cm="1">
        <f t="array" ref="AU322">SUMPRODUCT(--($AM$384:$AM$431=2),AU$331:AU$378,$AP$384:$AP$431)</f>
        <v>23.00545151209359</v>
      </c>
      <c r="AV322" s="7" cm="1">
        <f t="array" ref="AV322">SUMPRODUCT(--($AM$384:$AM$431=2),AV$331:AV$378,$AP$384:$AP$431)</f>
        <v>25.401979140057012</v>
      </c>
    </row>
    <row r="323" spans="1:48" ht="16">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8.51</v>
      </c>
      <c r="AS323" s="7" cm="1">
        <f t="array" ref="AS323">SUMPRODUCT(--($AM$384:$AM$431=2),AS$331:AS$378,$AQ$384:$AQ$431)</f>
        <v>14.48</v>
      </c>
      <c r="AT323" s="7" cm="1">
        <f t="array" ref="AT323">SUMPRODUCT(--($AM$384:$AM$431=2),AT$331:AT$378,$AQ$384:$AQ$431)</f>
        <v>7.19</v>
      </c>
      <c r="AU323" s="7" cm="1">
        <f t="array" ref="AU323">SUMPRODUCT(--($AM$384:$AM$431=2),AU$331:AU$378,$AQ$384:$AQ$431)</f>
        <v>12.875</v>
      </c>
      <c r="AV323" s="7" cm="1">
        <f t="array" ref="AV323">SUMPRODUCT(--($AM$384:$AM$431=2),AV$331:AV$378,$AQ$384:$AQ$431)</f>
        <v>24.535</v>
      </c>
    </row>
    <row r="324" spans="1:48" ht="16">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11.58330067041874</v>
      </c>
      <c r="AT324" s="7" cm="1">
        <f t="array" ref="AT324">SUMPRODUCT(--($AM$384:$AM$431=2),AT$331:AT$378,$AR$384:$AR$431)</f>
        <v>2.661845</v>
      </c>
      <c r="AU324" s="7" cm="1">
        <f t="array" ref="AU324">SUMPRODUCT(--($AM$384:$AM$431=2),AU$331:AU$378,$AR$384:$AR$431)</f>
        <v>2.308405</v>
      </c>
      <c r="AV324" s="7" cm="1">
        <f t="array" ref="AV324">SUMPRODUCT(--($AM$384:$AM$431=2),AV$331:AV$378,$AR$384:$AR$431)</f>
        <v>2.3415400000000002</v>
      </c>
    </row>
    <row r="325" spans="1:48" ht="16">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5.5606244545285275</v>
      </c>
      <c r="AS327" s="7" cm="1">
        <f t="array" ref="AS327">SUMPRODUCT(--($AM$384:$AM$431=2),AS$331:AS$378,$AU$384:$AU$431)</f>
        <v>4.9750908266335694</v>
      </c>
      <c r="AT327" s="7" cm="1">
        <f t="array" ref="AT327">SUMPRODUCT(--($AM$384:$AM$431=2),AT$331:AT$378,$AU$384:$AU$431)</f>
        <v>8.4380014112151223</v>
      </c>
      <c r="AU327" s="7" cm="1">
        <f t="array" ref="AU327">SUMPRODUCT(--($AM$384:$AM$431=2),AU$331:AU$378,$AU$384:$AU$431)</f>
        <v>8.1680014112151227</v>
      </c>
      <c r="AV327" s="7" cm="1">
        <f t="array" ref="AV327">SUMPRODUCT(--($AM$384:$AM$431=2),AV$331:AV$378,$AU$384:$AU$431)</f>
        <v>8.8141778151237968</v>
      </c>
    </row>
    <row r="328" spans="1:48" ht="16">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6">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6">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1">
        <f t="shared" ref="AN331:AN378" si="14">AM384</f>
        <v>1</v>
      </c>
      <c r="AO331" s="522">
        <f t="shared" ref="AO331:AO378" si="15">SUM(AO384:AU384)</f>
        <v>0.99999999999999989</v>
      </c>
      <c r="AP331" s="352">
        <f t="shared" ref="AP331:AP378" si="16">SUM(AR331:AV331)</f>
        <v>-38.763084000000006</v>
      </c>
      <c r="AQ331" s="147"/>
      <c r="AR331" s="8">
        <f>SelectedInputs!AR24</f>
        <v>-12.457691999999987</v>
      </c>
      <c r="AS331" s="8">
        <f>SelectedInputs!AS24</f>
        <v>-10.829015999999992</v>
      </c>
      <c r="AT331" s="8">
        <f>SelectedInputs!AT24</f>
        <v>-7.6047660000000095</v>
      </c>
      <c r="AU331" s="8">
        <f>SelectedInputs!AU24</f>
        <v>-5.0506059999999993</v>
      </c>
      <c r="AV331" s="8">
        <f>SelectedInputs!AV24</f>
        <v>-2.8210040000000132</v>
      </c>
    </row>
    <row r="332" spans="1:48" ht="16">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1">
        <f t="shared" si="14"/>
        <v>2</v>
      </c>
      <c r="AO332" s="522">
        <f t="shared" si="15"/>
        <v>1</v>
      </c>
      <c r="AP332" s="352">
        <f t="shared" si="16"/>
        <v>-5.7701028677716071</v>
      </c>
      <c r="AQ332" s="147"/>
      <c r="AR332" s="8">
        <f>SelectedInputs!AR25</f>
        <v>-1.1478576020290272</v>
      </c>
      <c r="AS332" s="8">
        <f>SelectedInputs!AS25</f>
        <v>-1.1548169638989747</v>
      </c>
      <c r="AT332" s="8">
        <f>SelectedInputs!AT25</f>
        <v>-1.8161834418747058</v>
      </c>
      <c r="AU332" s="8">
        <f>SelectedInputs!AU25</f>
        <v>-1.0489039676531986</v>
      </c>
      <c r="AV332" s="8">
        <f>SelectedInputs!AV25</f>
        <v>-0.60234089231570109</v>
      </c>
    </row>
    <row r="333" spans="1:48" ht="16">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1">
        <f t="shared" si="14"/>
        <v>2</v>
      </c>
      <c r="AO333" s="522">
        <f t="shared" si="15"/>
        <v>1</v>
      </c>
      <c r="AP333" s="352">
        <f t="shared" si="16"/>
        <v>0</v>
      </c>
      <c r="AQ333" s="147"/>
      <c r="AR333" s="8">
        <f>SelectedInputs!AR26</f>
        <v>0</v>
      </c>
      <c r="AS333" s="8">
        <f>SelectedInputs!AS26</f>
        <v>0</v>
      </c>
      <c r="AT333" s="8">
        <f>SelectedInputs!AT26</f>
        <v>0</v>
      </c>
      <c r="AU333" s="8">
        <f>SelectedInputs!AU26</f>
        <v>0</v>
      </c>
      <c r="AV333" s="8">
        <f>SelectedInputs!AV26</f>
        <v>0</v>
      </c>
    </row>
    <row r="334" spans="1:48" ht="16">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1">
        <f t="shared" si="14"/>
        <v>2</v>
      </c>
      <c r="AO334" s="522">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6">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1">
        <f t="shared" si="14"/>
        <v>2</v>
      </c>
      <c r="AO335" s="522">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6">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1">
        <f t="shared" si="14"/>
        <v>2</v>
      </c>
      <c r="AO336" s="522">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6">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1">
        <f t="shared" si="14"/>
        <v>2</v>
      </c>
      <c r="AO337" s="522">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6">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1">
        <f t="shared" si="14"/>
        <v>2</v>
      </c>
      <c r="AO338" s="522">
        <f t="shared" si="15"/>
        <v>1</v>
      </c>
      <c r="AP338" s="352">
        <f t="shared" si="16"/>
        <v>50.757134531900206</v>
      </c>
      <c r="AQ338" s="147"/>
      <c r="AR338" s="8">
        <f>SelectedInputs!AR31</f>
        <v>0</v>
      </c>
      <c r="AS338" s="8">
        <f>SelectedInputs!AS31</f>
        <v>0</v>
      </c>
      <c r="AT338" s="8">
        <f>SelectedInputs!AT31</f>
        <v>8.1054073809727978</v>
      </c>
      <c r="AU338" s="8">
        <f>SelectedInputs!AU31</f>
        <v>20.149429349970596</v>
      </c>
      <c r="AV338" s="8">
        <f>SelectedInputs!AV31</f>
        <v>22.502297800956807</v>
      </c>
    </row>
    <row r="339" spans="1:48" ht="16">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1">
        <f t="shared" si="14"/>
        <v>2</v>
      </c>
      <c r="AO339" s="522">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6">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1">
        <f t="shared" si="14"/>
        <v>1</v>
      </c>
      <c r="AO340" s="522">
        <f t="shared" si="15"/>
        <v>1</v>
      </c>
      <c r="AP340" s="352">
        <f t="shared" si="16"/>
        <v>140.05000000000001</v>
      </c>
      <c r="AQ340" s="147"/>
      <c r="AR340" s="8">
        <f>SelectedInputs!AR33</f>
        <v>30.88</v>
      </c>
      <c r="AS340" s="8">
        <f>SelectedInputs!AS33</f>
        <v>33.01</v>
      </c>
      <c r="AT340" s="8">
        <f>SelectedInputs!AT33</f>
        <v>24.84</v>
      </c>
      <c r="AU340" s="8">
        <f>SelectedInputs!AU33</f>
        <v>25.69</v>
      </c>
      <c r="AV340" s="8">
        <f>SelectedInputs!AV33</f>
        <v>25.63</v>
      </c>
    </row>
    <row r="341" spans="1:48" ht="16">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1">
        <f t="shared" si="14"/>
        <v>2</v>
      </c>
      <c r="AO341" s="522">
        <f t="shared" si="15"/>
        <v>1</v>
      </c>
      <c r="AP341" s="352">
        <f t="shared" si="16"/>
        <v>127.62318123723367</v>
      </c>
      <c r="AQ341" s="147"/>
      <c r="AR341" s="8">
        <f>SelectedInputs!AR34</f>
        <v>13.833050823790558</v>
      </c>
      <c r="AS341" s="8">
        <f>SelectedInputs!AS34</f>
        <v>11.953911368002304</v>
      </c>
      <c r="AT341" s="8">
        <f>SelectedInputs!AT34</f>
        <v>33.945406348480269</v>
      </c>
      <c r="AU341" s="8">
        <f>SelectedInputs!AU34</f>
        <v>33.945406348480269</v>
      </c>
      <c r="AV341" s="8">
        <f>SelectedInputs!AV34</f>
        <v>33.945406348480269</v>
      </c>
    </row>
    <row r="342" spans="1:48" ht="16">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1">
        <f t="shared" si="14"/>
        <v>2</v>
      </c>
      <c r="AO342" s="522">
        <f t="shared" si="15"/>
        <v>1</v>
      </c>
      <c r="AP342" s="352">
        <f t="shared" si="16"/>
        <v>69.318666122094697</v>
      </c>
      <c r="AQ342" s="147"/>
      <c r="AR342" s="8">
        <f>SelectedInputs!AR35</f>
        <v>8.0245830144365442</v>
      </c>
      <c r="AS342" s="8">
        <f>SelectedInputs!AS35</f>
        <v>7.3524851749011155</v>
      </c>
      <c r="AT342" s="8">
        <f>SelectedInputs!AT35</f>
        <v>17.980532644252346</v>
      </c>
      <c r="AU342" s="8">
        <f>SelectedInputs!AU35</f>
        <v>17.980532644252346</v>
      </c>
      <c r="AV342" s="8">
        <f>SelectedInputs!AV35</f>
        <v>17.980532644252346</v>
      </c>
    </row>
    <row r="343" spans="1:48" ht="16">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1">
        <f t="shared" si="14"/>
        <v>2</v>
      </c>
      <c r="AO343" s="522">
        <f t="shared" si="15"/>
        <v>1</v>
      </c>
      <c r="AP343" s="352">
        <f t="shared" si="16"/>
        <v>1.4460778139692056</v>
      </c>
      <c r="AQ343" s="147"/>
      <c r="AR343" s="8">
        <f>SelectedInputs!AR36</f>
        <v>0</v>
      </c>
      <c r="AS343" s="8">
        <f>SelectedInputs!AS36</f>
        <v>0</v>
      </c>
      <c r="AT343" s="8">
        <f>SelectedInputs!AT36</f>
        <v>0</v>
      </c>
      <c r="AU343" s="8">
        <f>SelectedInputs!AU36</f>
        <v>0</v>
      </c>
      <c r="AV343" s="8">
        <f>SelectedInputs!AV36</f>
        <v>1.4460778139692056</v>
      </c>
    </row>
    <row r="344" spans="1:48" ht="16">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1">
        <f t="shared" si="14"/>
        <v>2</v>
      </c>
      <c r="AO344" s="522">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6">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1">
        <f t="shared" si="14"/>
        <v>2</v>
      </c>
      <c r="AO345" s="522">
        <f t="shared" si="15"/>
        <v>1</v>
      </c>
      <c r="AP345" s="352">
        <f t="shared" si="16"/>
        <v>21.340868140200616</v>
      </c>
      <c r="AQ345" s="147"/>
      <c r="AR345" s="8">
        <f>SelectedInputs!AR38</f>
        <v>2.669238</v>
      </c>
      <c r="AS345" s="8">
        <f>SelectedInputs!AS38</f>
        <v>9.8556480000000004</v>
      </c>
      <c r="AT345" s="8">
        <f>SelectedInputs!AT38</f>
        <v>8.8159821402006155</v>
      </c>
      <c r="AU345" s="8">
        <f>SelectedInputs!AU38</f>
        <v>0</v>
      </c>
      <c r="AV345" s="8">
        <f>SelectedInputs!AV38</f>
        <v>0</v>
      </c>
    </row>
    <row r="346" spans="1:48" ht="16">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1">
        <f t="shared" si="14"/>
        <v>1</v>
      </c>
      <c r="AO346" s="522">
        <f t="shared" si="15"/>
        <v>1</v>
      </c>
      <c r="AP346" s="352">
        <f t="shared" si="16"/>
        <v>2.6399999999999997</v>
      </c>
      <c r="AQ346" s="147"/>
      <c r="AR346" s="8">
        <f>SelectedInputs!AR39</f>
        <v>0.24108815658046237</v>
      </c>
      <c r="AS346" s="8">
        <f>SelectedInputs!AS39</f>
        <v>2.4612065973080414E-2</v>
      </c>
      <c r="AT346" s="8">
        <f>SelectedInputs!AT39</f>
        <v>0.79143325914881901</v>
      </c>
      <c r="AU346" s="8">
        <f>SelectedInputs!AU39</f>
        <v>0.79143325914881901</v>
      </c>
      <c r="AV346" s="8">
        <f>SelectedInputs!AV39</f>
        <v>0.79143325914881901</v>
      </c>
    </row>
    <row r="347" spans="1:48" ht="16">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1">
        <f t="shared" si="14"/>
        <v>1</v>
      </c>
      <c r="AO347" s="522">
        <f t="shared" si="15"/>
        <v>1</v>
      </c>
      <c r="AP347" s="352">
        <f t="shared" si="16"/>
        <v>4.18</v>
      </c>
      <c r="AQ347" s="147"/>
      <c r="AR347" s="8">
        <f>SelectedInputs!AR40</f>
        <v>1.87</v>
      </c>
      <c r="AS347" s="8">
        <f>SelectedInputs!AS40</f>
        <v>1.0900000000000001</v>
      </c>
      <c r="AT347" s="8">
        <f>SelectedInputs!AT40</f>
        <v>1.1399999999999999</v>
      </c>
      <c r="AU347" s="8">
        <f>SelectedInputs!AU40</f>
        <v>0.04</v>
      </c>
      <c r="AV347" s="8">
        <f>SelectedInputs!AV40</f>
        <v>0.04</v>
      </c>
    </row>
    <row r="348" spans="1:48" ht="16">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1">
        <f t="shared" si="14"/>
        <v>2</v>
      </c>
      <c r="AO348" s="522">
        <f t="shared" si="15"/>
        <v>1</v>
      </c>
      <c r="AP348" s="352">
        <f t="shared" si="16"/>
        <v>67.59</v>
      </c>
      <c r="AQ348" s="147"/>
      <c r="AR348" s="8">
        <f>SelectedInputs!AR41</f>
        <v>8.51</v>
      </c>
      <c r="AS348" s="8">
        <f>SelectedInputs!AS41</f>
        <v>14.48</v>
      </c>
      <c r="AT348" s="8">
        <f>SelectedInputs!AT41</f>
        <v>7.19</v>
      </c>
      <c r="AU348" s="8">
        <f>SelectedInputs!AU41</f>
        <v>12.875</v>
      </c>
      <c r="AV348" s="8">
        <f>SelectedInputs!AV41</f>
        <v>24.535</v>
      </c>
    </row>
    <row r="349" spans="1:48" ht="16">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1">
        <f t="shared" si="14"/>
        <v>2</v>
      </c>
      <c r="AO349" s="522">
        <f t="shared" si="15"/>
        <v>1</v>
      </c>
      <c r="AP349" s="352">
        <f t="shared" si="16"/>
        <v>14.530000000000001</v>
      </c>
      <c r="AQ349" s="147"/>
      <c r="AR349" s="8">
        <f>SelectedInputs!AR42</f>
        <v>3.2</v>
      </c>
      <c r="AS349" s="8">
        <f>SelectedInputs!AS42</f>
        <v>2.89</v>
      </c>
      <c r="AT349" s="8">
        <f>SelectedInputs!AT42</f>
        <v>2.83</v>
      </c>
      <c r="AU349" s="8">
        <f>SelectedInputs!AU42</f>
        <v>2.56</v>
      </c>
      <c r="AV349" s="8">
        <f>SelectedInputs!AV42</f>
        <v>3.05</v>
      </c>
    </row>
    <row r="350" spans="1:48" ht="16">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1">
        <f t="shared" si="14"/>
        <v>1</v>
      </c>
      <c r="AO350" s="522">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6">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1">
        <f t="shared" si="14"/>
        <v>2</v>
      </c>
      <c r="AO351" s="522">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6">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1">
        <f t="shared" si="14"/>
        <v>2</v>
      </c>
      <c r="AO352" s="522">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6">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1">
        <f t="shared" si="14"/>
        <v>2</v>
      </c>
      <c r="AO353" s="522">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6">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1">
        <f t="shared" si="14"/>
        <v>2</v>
      </c>
      <c r="AO354" s="522">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6">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1">
        <f t="shared" si="14"/>
        <v>2</v>
      </c>
      <c r="AO355" s="522">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6">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1">
        <f t="shared" si="14"/>
        <v>1</v>
      </c>
      <c r="AO356" s="522">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6">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1">
        <f t="shared" si="14"/>
        <v>1</v>
      </c>
      <c r="AO357" s="522">
        <f t="shared" si="15"/>
        <v>1</v>
      </c>
      <c r="AP357" s="352">
        <f t="shared" si="16"/>
        <v>5.79</v>
      </c>
      <c r="AQ357" s="147"/>
      <c r="AR357" s="8">
        <f>SelectedInputs!AR50</f>
        <v>0.51492822278457073</v>
      </c>
      <c r="AS357" s="8">
        <f>SelectedInputs!AS50</f>
        <v>0.53100380260168889</v>
      </c>
      <c r="AT357" s="8">
        <f>SelectedInputs!AT50</f>
        <v>1.5813559915379136</v>
      </c>
      <c r="AU357" s="8">
        <f>SelectedInputs!AU50</f>
        <v>1.5813559915379136</v>
      </c>
      <c r="AV357" s="8">
        <f>SelectedInputs!AV50</f>
        <v>1.5813559915379136</v>
      </c>
    </row>
    <row r="358" spans="1:48" ht="16">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1">
        <f t="shared" si="14"/>
        <v>1</v>
      </c>
      <c r="AO358" s="522">
        <f t="shared" si="15"/>
        <v>1</v>
      </c>
      <c r="AP358" s="352">
        <f t="shared" si="16"/>
        <v>2.09</v>
      </c>
      <c r="AQ358" s="147"/>
      <c r="AR358" s="8">
        <f>SelectedInputs!AR51</f>
        <v>0.17405126829873918</v>
      </c>
      <c r="AS358" s="8">
        <f>SelectedInputs!AS51</f>
        <v>0.27462705114067132</v>
      </c>
      <c r="AT358" s="8">
        <f>SelectedInputs!AT51</f>
        <v>0.54710722685352975</v>
      </c>
      <c r="AU358" s="8">
        <f>SelectedInputs!AU51</f>
        <v>0.54710722685352975</v>
      </c>
      <c r="AV358" s="8">
        <f>SelectedInputs!AV51</f>
        <v>0.54710722685352975</v>
      </c>
    </row>
    <row r="359" spans="1:48" ht="16">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1">
        <f t="shared" si="14"/>
        <v>1</v>
      </c>
      <c r="AO359" s="522">
        <f t="shared" si="15"/>
        <v>1</v>
      </c>
      <c r="AP359" s="352">
        <f t="shared" si="16"/>
        <v>0.64</v>
      </c>
      <c r="AQ359" s="147"/>
      <c r="AR359" s="8">
        <f>SelectedInputs!AR52</f>
        <v>0.25</v>
      </c>
      <c r="AS359" s="8">
        <f>SelectedInputs!AS52</f>
        <v>0.19</v>
      </c>
      <c r="AT359" s="8">
        <f>SelectedInputs!AT52</f>
        <v>0.2</v>
      </c>
      <c r="AU359" s="8">
        <f>SelectedInputs!AU52</f>
        <v>0</v>
      </c>
      <c r="AV359" s="8">
        <f>SelectedInputs!AV52</f>
        <v>0</v>
      </c>
    </row>
    <row r="360" spans="1:48" ht="16">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1">
        <f t="shared" si="14"/>
        <v>2</v>
      </c>
      <c r="AO360" s="522">
        <f t="shared" si="15"/>
        <v>1</v>
      </c>
      <c r="AP360" s="352">
        <f t="shared" si="16"/>
        <v>5.9171409230691632</v>
      </c>
      <c r="AQ360" s="147"/>
      <c r="AR360" s="8">
        <f>SelectedInputs!AR53</f>
        <v>0</v>
      </c>
      <c r="AS360" s="8">
        <f>SelectedInputs!AS53</f>
        <v>0</v>
      </c>
      <c r="AT360" s="8">
        <f>SelectedInputs!AT53</f>
        <v>0</v>
      </c>
      <c r="AU360" s="8">
        <f>SelectedInputs!AU53</f>
        <v>2.9585704615345816</v>
      </c>
      <c r="AV360" s="8">
        <f>SelectedInputs!AV53</f>
        <v>2.9585704615345816</v>
      </c>
    </row>
    <row r="361" spans="1:48" ht="16">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1">
        <f t="shared" si="14"/>
        <v>2</v>
      </c>
      <c r="AO361" s="522">
        <f t="shared" si="15"/>
        <v>1</v>
      </c>
      <c r="AP361" s="352">
        <f t="shared" si="16"/>
        <v>21.425895918716137</v>
      </c>
      <c r="AQ361" s="147"/>
      <c r="AR361" s="8">
        <f>SelectedInputs!AR54</f>
        <v>2.3606244545285269</v>
      </c>
      <c r="AS361" s="8">
        <f>SelectedInputs!AS54</f>
        <v>2.0850908266335693</v>
      </c>
      <c r="AT361" s="8">
        <f>SelectedInputs!AT54</f>
        <v>5.6080014112151222</v>
      </c>
      <c r="AU361" s="8">
        <f>SelectedInputs!AU54</f>
        <v>5.6080014112151222</v>
      </c>
      <c r="AV361" s="8">
        <f>SelectedInputs!AV54</f>
        <v>5.764177815123797</v>
      </c>
    </row>
    <row r="362" spans="1:48" ht="16">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1">
        <f t="shared" si="14"/>
        <v>1</v>
      </c>
      <c r="AO362" s="522">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6">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1">
        <f t="shared" si="14"/>
        <v>1</v>
      </c>
      <c r="AO363" s="522">
        <f t="shared" si="15"/>
        <v>1</v>
      </c>
      <c r="AP363" s="352">
        <f t="shared" si="16"/>
        <v>0</v>
      </c>
      <c r="AQ363" s="147"/>
      <c r="AR363" s="8">
        <f>SelectedInputs!AR56</f>
        <v>0</v>
      </c>
      <c r="AS363" s="8">
        <f>SelectedInputs!AS56</f>
        <v>0</v>
      </c>
      <c r="AT363" s="8">
        <f>SelectedInputs!AT56</f>
        <v>0</v>
      </c>
      <c r="AU363" s="8">
        <f>SelectedInputs!AU56</f>
        <v>0</v>
      </c>
      <c r="AV363" s="8">
        <f>SelectedInputs!AV56</f>
        <v>0</v>
      </c>
    </row>
    <row r="364" spans="1:48" ht="16">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1">
        <f t="shared" si="14"/>
        <v>1</v>
      </c>
      <c r="AO364" s="522">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6">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1">
        <f t="shared" si="14"/>
        <v>2</v>
      </c>
      <c r="AO365" s="522">
        <f t="shared" si="15"/>
        <v>1</v>
      </c>
      <c r="AP365" s="352">
        <f t="shared" si="16"/>
        <v>10.8241</v>
      </c>
      <c r="AQ365" s="147"/>
      <c r="AR365" s="8">
        <f>SelectedInputs!AR58</f>
        <v>0</v>
      </c>
      <c r="AS365" s="8">
        <f>SelectedInputs!AS58</f>
        <v>3.5123099999999998</v>
      </c>
      <c r="AT365" s="8">
        <f>SelectedInputs!AT58</f>
        <v>2.661845</v>
      </c>
      <c r="AU365" s="8">
        <f>SelectedInputs!AU58</f>
        <v>2.308405</v>
      </c>
      <c r="AV365" s="8">
        <f>SelectedInputs!AV58</f>
        <v>2.3415400000000002</v>
      </c>
    </row>
    <row r="366" spans="1:48" ht="16">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1">
        <f t="shared" si="14"/>
        <v>2</v>
      </c>
      <c r="AO366" s="522">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6">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1">
        <f t="shared" si="14"/>
        <v>2</v>
      </c>
      <c r="AO367" s="522">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6">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1">
        <f t="shared" si="14"/>
        <v>2</v>
      </c>
      <c r="AO368" s="522">
        <f t="shared" si="15"/>
        <v>1</v>
      </c>
      <c r="AP368" s="352">
        <f t="shared" si="16"/>
        <v>3.6832077746412732</v>
      </c>
      <c r="AQ368" s="147"/>
      <c r="AR368" s="8">
        <f>SelectedInputs!AR61</f>
        <v>3.6337127212547649</v>
      </c>
      <c r="AS368" s="8">
        <f>SelectedInputs!AS61</f>
        <v>4.9495053386508427E-2</v>
      </c>
      <c r="AT368" s="8">
        <f>SelectedInputs!AT61</f>
        <v>0</v>
      </c>
      <c r="AU368" s="8">
        <f>SelectedInputs!AU61</f>
        <v>0</v>
      </c>
      <c r="AV368" s="8">
        <f>SelectedInputs!AV61</f>
        <v>0</v>
      </c>
    </row>
    <row r="369" spans="1:48" ht="16">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1">
        <f t="shared" si="14"/>
        <v>2</v>
      </c>
      <c r="AO369" s="522">
        <f t="shared" si="15"/>
        <v>1</v>
      </c>
      <c r="AP369" s="352">
        <f t="shared" si="16"/>
        <v>8.0709906704187411</v>
      </c>
      <c r="AQ369" s="147"/>
      <c r="AR369" s="8">
        <f>SelectedInputs!AR62</f>
        <v>0</v>
      </c>
      <c r="AS369" s="8">
        <f>SelectedInputs!AS62</f>
        <v>8.0709906704187411</v>
      </c>
      <c r="AT369" s="8">
        <f>SelectedInputs!AT62</f>
        <v>0</v>
      </c>
      <c r="AU369" s="8">
        <f>SelectedInputs!AU62</f>
        <v>0</v>
      </c>
      <c r="AV369" s="8">
        <f>SelectedInputs!AV62</f>
        <v>0</v>
      </c>
    </row>
    <row r="370" spans="1:48" ht="16">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1">
        <f t="shared" si="14"/>
        <v>2</v>
      </c>
      <c r="AO370" s="522">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6">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1">
        <f t="shared" si="14"/>
        <v>0</v>
      </c>
      <c r="AO371" s="522">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6">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1">
        <f t="shared" si="14"/>
        <v>0</v>
      </c>
      <c r="AO372" s="522">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6">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1">
        <f t="shared" si="14"/>
        <v>0</v>
      </c>
      <c r="AO373" s="522">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6">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1">
        <f t="shared" si="14"/>
        <v>0</v>
      </c>
      <c r="AO374" s="522">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6">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1">
        <f t="shared" si="14"/>
        <v>0</v>
      </c>
      <c r="AO375" s="522">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6">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1">
        <f t="shared" si="14"/>
        <v>0</v>
      </c>
      <c r="AO376" s="522">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6">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1">
        <f t="shared" si="14"/>
        <v>0</v>
      </c>
      <c r="AO377" s="522">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6">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1">
        <f t="shared" si="14"/>
        <v>0</v>
      </c>
      <c r="AO378" s="522">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6">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62.555727059645143</v>
      </c>
      <c r="AS379" s="431">
        <f>SUM(AS331:AS378)</f>
        <v>83.386341049158702</v>
      </c>
      <c r="AT379" s="431">
        <f>SUM(AT331:AT378)</f>
        <v>106.8161219607867</v>
      </c>
      <c r="AU379" s="431">
        <f>SUM(AU331:AU378)</f>
        <v>120.93573172533999</v>
      </c>
      <c r="AV379" s="431">
        <f>SUM(AV331:AV378)</f>
        <v>139.69015446954157</v>
      </c>
    </row>
    <row r="380" spans="1:48" ht="16">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6">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6">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4">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6">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4"/>
      <c r="AO384" s="287">
        <f>SelectedInputs!AO74</f>
        <v>8.9402661570373146E-2</v>
      </c>
      <c r="AP384" s="287">
        <f>SelectedInputs!AP74</f>
        <v>0.27669921768786754</v>
      </c>
      <c r="AQ384" s="287">
        <f>SelectedInputs!AQ74</f>
        <v>0.12274609426589289</v>
      </c>
      <c r="AR384" s="287">
        <f>SelectedInputs!AR74</f>
        <v>9.5306904079365456E-2</v>
      </c>
      <c r="AS384" s="287">
        <f>SelectedInputs!AS74</f>
        <v>1.482275619362808E-2</v>
      </c>
      <c r="AT384" s="287">
        <f>SelectedInputs!AT74</f>
        <v>6.0580635638318524E-2</v>
      </c>
      <c r="AU384" s="287">
        <f>SelectedInputs!AU74</f>
        <v>0.34044173056455429</v>
      </c>
      <c r="AV384" s="520"/>
    </row>
    <row r="385" spans="1:48" ht="16">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4"/>
      <c r="AO385" s="287">
        <f>SelectedInputs!AO75</f>
        <v>0.9022328996990755</v>
      </c>
      <c r="AP385" s="287">
        <f>SelectedInputs!AP75</f>
        <v>9.7767100300924489E-2</v>
      </c>
      <c r="AQ385" s="287">
        <f>SelectedInputs!AQ75</f>
        <v>0</v>
      </c>
      <c r="AR385" s="287">
        <f>SelectedInputs!AR75</f>
        <v>0</v>
      </c>
      <c r="AS385" s="287">
        <f>SelectedInputs!AS75</f>
        <v>0</v>
      </c>
      <c r="AT385" s="287">
        <f>SelectedInputs!AT75</f>
        <v>0</v>
      </c>
      <c r="AU385" s="287">
        <f>SelectedInputs!AU75</f>
        <v>0</v>
      </c>
      <c r="AV385" s="520"/>
    </row>
    <row r="386" spans="1:48" ht="16">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4"/>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0"/>
    </row>
    <row r="387" spans="1:48" ht="16">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4"/>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0"/>
    </row>
    <row r="388" spans="1:48" ht="16">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4"/>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0"/>
    </row>
    <row r="389" spans="1:48" ht="16">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4"/>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0"/>
    </row>
    <row r="390" spans="1:48" ht="16">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4"/>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0"/>
    </row>
    <row r="391" spans="1:48" ht="16">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4"/>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0"/>
    </row>
    <row r="392" spans="1:48" ht="16">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4"/>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0"/>
    </row>
    <row r="393" spans="1:48" ht="16">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4"/>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0"/>
    </row>
    <row r="394" spans="1:48" ht="16">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4"/>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0"/>
    </row>
    <row r="395" spans="1:48" ht="16">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4"/>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0"/>
    </row>
    <row r="396" spans="1:48" ht="16">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4"/>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0"/>
    </row>
    <row r="397" spans="1:48" ht="16">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4"/>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0"/>
    </row>
    <row r="398" spans="1:48" ht="16">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4"/>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0"/>
    </row>
    <row r="399" spans="1:48" ht="16">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4"/>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0"/>
    </row>
    <row r="400" spans="1:48" ht="16">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4"/>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0"/>
    </row>
    <row r="401" spans="1:48" ht="16">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4"/>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0"/>
    </row>
    <row r="402" spans="1:48" ht="16">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4"/>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0"/>
    </row>
    <row r="403" spans="1:48" ht="16">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4"/>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0"/>
    </row>
    <row r="404" spans="1:48" ht="16">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4"/>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0"/>
    </row>
    <row r="405" spans="1:48" ht="16">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4"/>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0"/>
    </row>
    <row r="406" spans="1:48" ht="16">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4"/>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0"/>
    </row>
    <row r="407" spans="1:48" ht="16">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4"/>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0"/>
    </row>
    <row r="408" spans="1:48" ht="16">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4"/>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0"/>
    </row>
    <row r="409" spans="1:48" ht="16">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4"/>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0"/>
    </row>
    <row r="410" spans="1:48" ht="16">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4"/>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0"/>
    </row>
    <row r="411" spans="1:48" ht="16">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4"/>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0"/>
    </row>
    <row r="412" spans="1:48" ht="16">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4"/>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0"/>
    </row>
    <row r="413" spans="1:48" ht="16">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4"/>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0"/>
    </row>
    <row r="414" spans="1:48" ht="16">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4"/>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0"/>
    </row>
    <row r="415" spans="1:48" ht="16">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4"/>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0"/>
    </row>
    <row r="416" spans="1:48" ht="16">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4"/>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0"/>
    </row>
    <row r="417" spans="1:48" ht="16">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4"/>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0"/>
    </row>
    <row r="418" spans="1:48" ht="16">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4"/>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0"/>
    </row>
    <row r="419" spans="1:48" ht="16">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4"/>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0"/>
    </row>
    <row r="420" spans="1:48" ht="16">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4"/>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0"/>
    </row>
    <row r="421" spans="1:48" ht="16">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4"/>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0"/>
    </row>
    <row r="422" spans="1:48" ht="16">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4"/>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0"/>
    </row>
    <row r="423" spans="1:48" ht="16">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4"/>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0"/>
    </row>
    <row r="424" spans="1:48" ht="16">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4"/>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0"/>
    </row>
    <row r="425" spans="1:48" ht="16">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4"/>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0"/>
    </row>
    <row r="426" spans="1:48" ht="16">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4"/>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0"/>
    </row>
    <row r="427" spans="1:48" ht="16">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4"/>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0"/>
    </row>
    <row r="428" spans="1:48" ht="16">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4"/>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0"/>
    </row>
    <row r="429" spans="1:48" ht="16">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4"/>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0"/>
    </row>
    <row r="430" spans="1:48" ht="16">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4"/>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0"/>
    </row>
    <row r="431" spans="1:48" ht="16">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4"/>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0"/>
    </row>
    <row r="432" spans="1:48" ht="16">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5"/>
      <c r="AO432" s="82"/>
      <c r="AP432" s="82"/>
      <c r="AQ432" s="147"/>
      <c r="AR432" s="82"/>
      <c r="AS432" s="82"/>
      <c r="AT432" s="82"/>
      <c r="AU432" s="82"/>
      <c r="AV432" s="82"/>
    </row>
    <row r="433" spans="1:48" ht="16">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6">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1">
        <f>SelectedInputs!AR295</f>
        <v>0</v>
      </c>
      <c r="AS435" s="491">
        <f>SelectedInputs!AS295</f>
        <v>0</v>
      </c>
      <c r="AT435" s="491">
        <f>SelectedInputs!AT295</f>
        <v>0</v>
      </c>
      <c r="AU435" s="491">
        <f>SelectedInputs!AU295</f>
        <v>0</v>
      </c>
      <c r="AV435" s="491">
        <f>SelectedInputs!AV295</f>
        <v>0</v>
      </c>
    </row>
    <row r="436" spans="1:48" ht="16">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0</v>
      </c>
      <c r="AS436" s="132">
        <f>SelectedInputs!AS296</f>
        <v>0</v>
      </c>
      <c r="AT436" s="132">
        <f>SelectedInputs!AT296</f>
        <v>0</v>
      </c>
      <c r="AU436" s="132">
        <f>SelectedInputs!AU296</f>
        <v>0</v>
      </c>
      <c r="AV436" s="132">
        <f>SelectedInputs!AV296</f>
        <v>0</v>
      </c>
    </row>
    <row r="437" spans="1:48" ht="16">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0.62907864793467771</v>
      </c>
      <c r="AS437" s="132">
        <f>SelectedInputs!AS297</f>
        <v>0.71454953036872815</v>
      </c>
      <c r="AT437" s="132">
        <f>SelectedInputs!AT297</f>
        <v>0.64904694462622181</v>
      </c>
      <c r="AU437" s="132">
        <f>SelectedInputs!AU297</f>
        <v>0.79213229256808115</v>
      </c>
      <c r="AV437" s="132">
        <f>SelectedInputs!AV297</f>
        <v>0.77045408151553363</v>
      </c>
    </row>
    <row r="438" spans="1:48" ht="16">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6">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2">
        <f>SelectedInputs!AR301</f>
        <v>5.2071718511002826E-2</v>
      </c>
      <c r="AS441" s="492">
        <f>SelectedInputs!AS301</f>
        <v>5.7117777962667808E-2</v>
      </c>
      <c r="AT441" s="492">
        <f>SelectedInputs!AT301</f>
        <v>6.9683796293850603E-2</v>
      </c>
      <c r="AU441" s="492">
        <f>SelectedInputs!AU301</f>
        <v>3.1257080478088194E-2</v>
      </c>
      <c r="AV441" s="492">
        <f>SelectedInputs!AV301</f>
        <v>2.7517960849722495E-2</v>
      </c>
    </row>
    <row r="442" spans="1:48" ht="16">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0.98328849503876714</v>
      </c>
      <c r="AS442" s="132">
        <f>SelectedInputs!AS302</f>
        <v>0.98323273338753914</v>
      </c>
      <c r="AT442" s="132">
        <f>SelectedInputs!AT302</f>
        <v>0.98227424918134321</v>
      </c>
      <c r="AU442" s="132">
        <f>SelectedInputs!AU302</f>
        <v>0.98299848128510636</v>
      </c>
      <c r="AV442" s="132">
        <f>SelectedInputs!AV302</f>
        <v>0.98053697760929648</v>
      </c>
    </row>
    <row r="443" spans="1:48" ht="16">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0.94193875909710245</v>
      </c>
      <c r="AS443" s="132">
        <f>SelectedInputs!AS303</f>
        <v>0.96206709236529442</v>
      </c>
      <c r="AT443" s="132">
        <f>SelectedInputs!AT303</f>
        <v>0.96985173066804986</v>
      </c>
      <c r="AU443" s="132">
        <f>SelectedInputs!AU303</f>
        <v>0.96705417109356417</v>
      </c>
      <c r="AV443" s="132">
        <f>SelectedInputs!AV303</f>
        <v>0.96218159726676122</v>
      </c>
    </row>
    <row r="444" spans="1:48" ht="16">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3.3270252586965816E-2</v>
      </c>
      <c r="AS444" s="132">
        <f>SelectedInputs!AS304</f>
        <v>1.697271037010108E-2</v>
      </c>
      <c r="AT444" s="132">
        <f>SelectedInputs!AT304</f>
        <v>8.3239329840322826E-2</v>
      </c>
      <c r="AU444" s="132">
        <f>SelectedInputs!AU304</f>
        <v>7.38489996983204E-2</v>
      </c>
      <c r="AV444" s="132">
        <f>SelectedInputs!AV304</f>
        <v>8.1970900000583491E-2</v>
      </c>
    </row>
    <row r="445" spans="1:48" ht="16">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0.84928043356427518</v>
      </c>
      <c r="AS445" s="132">
        <f>SelectedInputs!AS305</f>
        <v>0.88250943303273111</v>
      </c>
      <c r="AT445" s="132">
        <f>SelectedInputs!AT305</f>
        <v>0.84020306656436061</v>
      </c>
      <c r="AU445" s="132">
        <f>SelectedInputs!AU305</f>
        <v>0.8398816816116853</v>
      </c>
      <c r="AV445" s="132">
        <f>SelectedInputs!AV305</f>
        <v>0.83916467837790931</v>
      </c>
    </row>
    <row r="446" spans="1:48" ht="16">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0.33121839741080428</v>
      </c>
      <c r="AS446" s="132">
        <f>SelectedInputs!AS306</f>
        <v>0.10269516032953971</v>
      </c>
      <c r="AT446" s="132">
        <f>SelectedInputs!AT306</f>
        <v>0.16406764615478089</v>
      </c>
      <c r="AU446" s="132">
        <f>SelectedInputs!AU306</f>
        <v>0.16657348880880879</v>
      </c>
      <c r="AV446" s="132">
        <f>SelectedInputs!AV306</f>
        <v>0.16906627404841437</v>
      </c>
    </row>
    <row r="447" spans="1:48" ht="16">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0.29170109176387227</v>
      </c>
      <c r="AS448" s="132">
        <f>SelectedInputs!AS308</f>
        <v>0.29286428655237379</v>
      </c>
      <c r="AT448" s="132">
        <f>SelectedInputs!AT308</f>
        <v>0.29552240377860511</v>
      </c>
      <c r="AU448" s="132">
        <f>SelectedInputs!AU308</f>
        <v>0.30554772537732194</v>
      </c>
      <c r="AV448" s="132">
        <f>SelectedInputs!AV308</f>
        <v>0.31000424902461649</v>
      </c>
    </row>
    <row r="449" spans="1:48" ht="16">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1">
        <f>SelectedInputs!AR309</f>
        <v>0</v>
      </c>
      <c r="AS449" s="491">
        <f>SelectedInputs!AS309</f>
        <v>0</v>
      </c>
      <c r="AT449" s="491">
        <f>SelectedInputs!AT309</f>
        <v>0</v>
      </c>
      <c r="AU449" s="491">
        <f>SelectedInputs!AU309</f>
        <v>0</v>
      </c>
      <c r="AV449" s="491">
        <f>SelectedInputs!AV309</f>
        <v>0</v>
      </c>
    </row>
    <row r="450" spans="1:48" ht="16">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v>
      </c>
      <c r="AS450" s="132">
        <f>SelectedInputs!AS310</f>
        <v>0</v>
      </c>
      <c r="AT450" s="132">
        <f>SelectedInputs!AT310</f>
        <v>0</v>
      </c>
      <c r="AU450" s="132">
        <f>SelectedInputs!AU310</f>
        <v>0</v>
      </c>
      <c r="AV450" s="132">
        <f>SelectedInputs!AV310</f>
        <v>0</v>
      </c>
    </row>
    <row r="451" spans="1:48" ht="16">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v>
      </c>
      <c r="AS451" s="132">
        <f>SelectedInputs!AS311</f>
        <v>0</v>
      </c>
      <c r="AT451" s="132">
        <f>SelectedInputs!AT311</f>
        <v>0</v>
      </c>
      <c r="AU451" s="132">
        <f>SelectedInputs!AU311</f>
        <v>0</v>
      </c>
      <c r="AV451" s="132">
        <f>SelectedInputs!AV311</f>
        <v>0</v>
      </c>
    </row>
    <row r="452" spans="1:48" ht="16">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v>
      </c>
      <c r="AS452" s="132">
        <f>SelectedInputs!AS312</f>
        <v>0</v>
      </c>
      <c r="AT452" s="132">
        <f>SelectedInputs!AT312</f>
        <v>0</v>
      </c>
      <c r="AU452" s="132">
        <f>SelectedInputs!AU312</f>
        <v>0</v>
      </c>
      <c r="AV452" s="132">
        <f>SelectedInputs!AV312</f>
        <v>0</v>
      </c>
    </row>
    <row r="453" spans="1:48" ht="16">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6">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2">
        <f>SelectedInputs!AR315</f>
        <v>0</v>
      </c>
      <c r="AS455" s="492">
        <f>SelectedInputs!AS315</f>
        <v>0</v>
      </c>
      <c r="AT455" s="492">
        <f>SelectedInputs!AT315</f>
        <v>0</v>
      </c>
      <c r="AU455" s="492">
        <f>SelectedInputs!AU315</f>
        <v>0</v>
      </c>
      <c r="AV455" s="492">
        <f>SelectedInputs!AV315</f>
        <v>0</v>
      </c>
    </row>
    <row r="456" spans="1:48" ht="16">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1">
        <f>SelectedInputs!AR316</f>
        <v>6.7797371428799215E-3</v>
      </c>
      <c r="AS456" s="491">
        <f>SelectedInputs!AS316</f>
        <v>7.7292802009390951E-3</v>
      </c>
      <c r="AT456" s="491">
        <f>SelectedInputs!AT316</f>
        <v>7.2330226719264715E-3</v>
      </c>
      <c r="AU456" s="491">
        <f>SelectedInputs!AU316</f>
        <v>6.6090915968847839E-3</v>
      </c>
      <c r="AV456" s="491">
        <f>SelectedInputs!AV316</f>
        <v>3.909433740260192E-3</v>
      </c>
    </row>
    <row r="457" spans="1:48" ht="16">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5.4997558143779476E-2</v>
      </c>
      <c r="AS457" s="132">
        <f>SelectedInputs!AS317</f>
        <v>3.5703579087375772E-2</v>
      </c>
      <c r="AT457" s="132">
        <f>SelectedInputs!AT317</f>
        <v>2.8108646685215198E-2</v>
      </c>
      <c r="AU457" s="132">
        <f>SelectedInputs!AU317</f>
        <v>3.0654744499805521E-2</v>
      </c>
      <c r="AV457" s="132">
        <f>SelectedInputs!AV317</f>
        <v>3.5294469086433404E-2</v>
      </c>
    </row>
    <row r="458" spans="1:48" ht="16">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0</v>
      </c>
      <c r="AT458" s="132">
        <f>SelectedInputs!AT318</f>
        <v>0</v>
      </c>
      <c r="AU458" s="132">
        <f>SelectedInputs!AU318</f>
        <v>0</v>
      </c>
      <c r="AV458" s="132">
        <f>SelectedInputs!AV318</f>
        <v>0</v>
      </c>
    </row>
    <row r="459" spans="1:48" ht="16">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6">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2">
        <f>SelectedInputs!AR322</f>
        <v>7.0440870848984373E-3</v>
      </c>
      <c r="AS462" s="492">
        <f>SelectedInputs!AS322</f>
        <v>4.7232605761292294E-3</v>
      </c>
      <c r="AT462" s="492">
        <f>SelectedInputs!AT322</f>
        <v>3.913575061881786E-3</v>
      </c>
      <c r="AU462" s="492">
        <f>SelectedInputs!AU322</f>
        <v>3.999597447812457E-3</v>
      </c>
      <c r="AV462" s="492">
        <f>SelectedInputs!AV322</f>
        <v>3.9495448669417598E-3</v>
      </c>
    </row>
    <row r="463" spans="1:48" ht="16">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4.210470651365413E-3</v>
      </c>
      <c r="AS463" s="132">
        <f>SelectedInputs!AS323</f>
        <v>4.7670903436173827E-3</v>
      </c>
      <c r="AT463" s="132">
        <f>SelectedInputs!AT323</f>
        <v>9.546351348534491E-3</v>
      </c>
      <c r="AU463" s="132">
        <f>SelectedInputs!AU323</f>
        <v>8.6164716025311991E-3</v>
      </c>
      <c r="AV463" s="132">
        <f>SelectedInputs!AV323</f>
        <v>1.3180810946817317E-2</v>
      </c>
    </row>
    <row r="464" spans="1:48" ht="16">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6">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0.33765109947835653</v>
      </c>
      <c r="AS465" s="132">
        <f>SelectedInputs!AS325</f>
        <v>0.26847775926117085</v>
      </c>
      <c r="AT465" s="132">
        <f>SelectedInputs!AT325</f>
        <v>0.2677137255334554</v>
      </c>
      <c r="AU465" s="132">
        <f>SelectedInputs!AU325</f>
        <v>0.13401870773359842</v>
      </c>
      <c r="AV465" s="132">
        <f>SelectedInputs!AV325</f>
        <v>0.14757501848388296</v>
      </c>
    </row>
    <row r="466" spans="1:48" ht="16">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0.15071956643572484</v>
      </c>
      <c r="AS466" s="132">
        <f>SelectedInputs!AS326</f>
        <v>0.11749056696726895</v>
      </c>
      <c r="AT466" s="132">
        <f>SelectedInputs!AT326</f>
        <v>0.15979693343563933</v>
      </c>
      <c r="AU466" s="132">
        <f>SelectedInputs!AU326</f>
        <v>0.16011831838831458</v>
      </c>
      <c r="AV466" s="132">
        <f>SelectedInputs!AV326</f>
        <v>0.16083532162209063</v>
      </c>
    </row>
    <row r="467" spans="1:48" ht="16">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0.66878160258919572</v>
      </c>
      <c r="AS467" s="132">
        <f>SelectedInputs!AS327</f>
        <v>0.89730483967046026</v>
      </c>
      <c r="AT467" s="132">
        <f>SelectedInputs!AT327</f>
        <v>0.83593235384521913</v>
      </c>
      <c r="AU467" s="132">
        <f>SelectedInputs!AU327</f>
        <v>0.83342651119119127</v>
      </c>
      <c r="AV467" s="132">
        <f>SelectedInputs!AV327</f>
        <v>0.83093372595158566</v>
      </c>
    </row>
    <row r="468" spans="1:48" ht="16">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0.64844586164757567</v>
      </c>
      <c r="AS469" s="132">
        <f>SelectedInputs!AS329</f>
        <v>0.64475875646269298</v>
      </c>
      <c r="AT469" s="132">
        <f>SelectedInputs!AT329</f>
        <v>0.63055907232138042</v>
      </c>
      <c r="AU469" s="132">
        <f>SelectedInputs!AU329</f>
        <v>0.65876989820647325</v>
      </c>
      <c r="AV469" s="132">
        <f>SelectedInputs!AV329</f>
        <v>0.65801232555080214</v>
      </c>
    </row>
    <row r="470" spans="1:48" ht="16">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1">
        <f>SelectedInputs!AR330</f>
        <v>5.7212971669872758E-3</v>
      </c>
      <c r="AS470" s="491">
        <f>SelectedInputs!AS330</f>
        <v>4.270896067904352E-3</v>
      </c>
      <c r="AT470" s="491">
        <f>SelectedInputs!AT330</f>
        <v>9.4637679819598692E-4</v>
      </c>
      <c r="AU470" s="491">
        <f>SelectedInputs!AU330</f>
        <v>1.7759555154776771E-3</v>
      </c>
      <c r="AV470" s="491">
        <f>SelectedInputs!AV330</f>
        <v>2.3727777036261282E-3</v>
      </c>
    </row>
    <row r="471" spans="1:48" ht="16">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3.0636827591181458E-3</v>
      </c>
      <c r="AS471" s="132">
        <f>SelectedInputs!AS331</f>
        <v>2.2293285473298937E-3</v>
      </c>
      <c r="AT471" s="132">
        <f>SelectedInputs!AT331</f>
        <v>2.0396226467350744E-3</v>
      </c>
      <c r="AU471" s="132">
        <f>SelectedInputs!AU331</f>
        <v>2.291084406630361E-3</v>
      </c>
      <c r="AV471" s="132">
        <f>SelectedInputs!AV331</f>
        <v>2.5239336468054099E-3</v>
      </c>
    </row>
    <row r="472" spans="1:48" ht="16">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0</v>
      </c>
      <c r="AS472" s="132">
        <f>SelectedInputs!AS332</f>
        <v>0</v>
      </c>
      <c r="AT472" s="132">
        <f>SelectedInputs!AT332</f>
        <v>0</v>
      </c>
      <c r="AU472" s="132">
        <f>SelectedInputs!AU332</f>
        <v>0</v>
      </c>
      <c r="AV472" s="132">
        <f>SelectedInputs!AV332</f>
        <v>0</v>
      </c>
    </row>
    <row r="473" spans="1:48" ht="16">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6">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2">
        <f>SelectedInputs!AR336</f>
        <v>7.3724099265089443E-4</v>
      </c>
      <c r="AS476" s="492">
        <f>SelectedInputs!AS336</f>
        <v>5.3591844613631271E-4</v>
      </c>
      <c r="AT476" s="492">
        <f>SelectedInputs!AT336</f>
        <v>3.2115254428218687E-4</v>
      </c>
      <c r="AU476" s="492">
        <f>SelectedInputs!AU336</f>
        <v>4.2569849030426059E-4</v>
      </c>
      <c r="AV476" s="492">
        <f>SelectedInputs!AV336</f>
        <v>5.1591970791711045E-4</v>
      </c>
    </row>
    <row r="477" spans="1:48" ht="16">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6">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4" priority="15" operator="equal">
      <formula>FALSE()</formula>
    </cfRule>
  </conditionalFormatting>
  <conditionalFormatting sqref="K16:AV18 K101:BA114 AW246:BA258 K277:AP278 AR277:BA278">
    <cfRule type="cellIs" dxfId="93" priority="24" operator="equal">
      <formula>FALSE()</formula>
    </cfRule>
  </conditionalFormatting>
  <conditionalFormatting sqref="AM3">
    <cfRule type="expression" dxfId="92"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4089400</xdr:colOff>
                    <xdr:row>0</xdr:row>
                    <xdr:rowOff>69850</xdr:rowOff>
                  </from>
                  <to>
                    <xdr:col>4</xdr:col>
                    <xdr:colOff>5022850</xdr:colOff>
                    <xdr:row>0</xdr:row>
                    <xdr:rowOff>203200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609375" customWidth="1"/>
    <col min="5" max="5" width="71.765625" customWidth="1"/>
    <col min="6" max="6" width="3" customWidth="1"/>
    <col min="7" max="7" width="12" customWidth="1"/>
    <col min="8" max="8" width="7.15234375" customWidth="1"/>
    <col min="9" max="9" width="11" customWidth="1"/>
    <col min="10" max="10" width="1.4609375" customWidth="1" collapsed="1"/>
    <col min="11" max="35" width="9.61328125" hidden="1" customWidth="1" outlineLevel="1"/>
    <col min="36" max="48" width="9.61328125" customWidth="1"/>
    <col min="49" max="49" width="9.765625" customWidth="1"/>
    <col min="50" max="99" width="0" hidden="1" customWidth="1"/>
    <col min="100" max="16384" width="9" hidden="1"/>
  </cols>
  <sheetData>
    <row r="1" spans="1:54" ht="18.5">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6">
      <c r="A2" s="181"/>
      <c r="B2" s="157" t="str">
        <f>UserInterface!E30</f>
        <v>SPD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89"/>
      <c r="AS10" s="489"/>
      <c r="AT10" s="82"/>
      <c r="AU10" s="82"/>
      <c r="AV10" s="82"/>
      <c r="AW10" s="184"/>
      <c r="AX10" s="184"/>
      <c r="AY10" s="184"/>
      <c r="AZ10" s="184"/>
      <c r="BA10" s="184"/>
      <c r="BB10" s="82"/>
    </row>
    <row r="11" spans="1:54" ht="16">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1.321792585589326</v>
      </c>
      <c r="AT12" s="121">
        <f>InputSummary!AT194</f>
        <v>1.3743827621199309</v>
      </c>
      <c r="AU12" s="121">
        <f>InputSummary!AU194</f>
        <v>1.4066722012363251</v>
      </c>
      <c r="AV12" s="121">
        <f>InputSummary!AV194</f>
        <v>1.4352422149476913</v>
      </c>
      <c r="AW12" s="184"/>
      <c r="AX12" s="184"/>
      <c r="AY12" s="184"/>
      <c r="AZ12" s="184"/>
      <c r="BA12" s="184"/>
      <c r="BB12" s="82"/>
    </row>
    <row r="13" spans="1:54" ht="16">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1.5891583485338787</v>
      </c>
      <c r="AT13" s="121">
        <f t="shared" si="0"/>
        <v>1.6523862096942736</v>
      </c>
      <c r="AU13" s="121">
        <f t="shared" si="0"/>
        <v>1.6912069992044645</v>
      </c>
      <c r="AV13" s="121">
        <f t="shared" si="0"/>
        <v>1.7255560160639456</v>
      </c>
      <c r="AW13" s="184"/>
      <c r="AX13" s="184"/>
      <c r="AY13" s="184"/>
      <c r="AZ13" s="184"/>
      <c r="BA13" s="184"/>
      <c r="BB13" s="82"/>
    </row>
    <row r="14" spans="1:54" ht="16">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3.1530000000000002E-2</v>
      </c>
      <c r="AQ15" s="295">
        <f>InputSummary!AQ182</f>
        <v>3.0359999999999998E-2</v>
      </c>
      <c r="AR15" s="212">
        <f>InputSummary!AR182</f>
        <v>3.97335776E-2</v>
      </c>
      <c r="AS15" s="212">
        <f>InputSummary!AS182</f>
        <v>4.1370183200000001E-2</v>
      </c>
      <c r="AT15" s="212">
        <f>InputSummary!AT182</f>
        <v>4.09301584E-2</v>
      </c>
      <c r="AU15" s="212">
        <f>InputSummary!AU182</f>
        <v>4.1868818000000002E-2</v>
      </c>
      <c r="AV15" s="212">
        <f>InputSummary!AV182</f>
        <v>4.1308793199999999E-2</v>
      </c>
      <c r="AW15" s="184"/>
      <c r="AX15" s="184"/>
      <c r="AY15" s="184"/>
      <c r="AZ15" s="184"/>
      <c r="BA15" s="184"/>
      <c r="BB15" s="82"/>
    </row>
    <row r="16" spans="1:54" ht="16">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1.0409301583999999</v>
      </c>
      <c r="AU16" s="425">
        <f t="shared" si="1"/>
        <v>1.041868818</v>
      </c>
      <c r="AV16" s="425">
        <f t="shared" si="1"/>
        <v>1.0413087932</v>
      </c>
      <c r="AW16" s="184"/>
      <c r="AX16" s="184"/>
      <c r="AY16" s="184"/>
      <c r="AZ16" s="184"/>
      <c r="BA16" s="184"/>
      <c r="BB16" s="82"/>
    </row>
    <row r="17" spans="1:54" ht="16">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2.663947748147637</v>
      </c>
      <c r="AS20" s="30"/>
      <c r="AT20" s="30"/>
      <c r="AU20" s="30"/>
      <c r="AV20" s="30"/>
      <c r="AW20" s="184"/>
      <c r="AX20" s="184"/>
      <c r="AY20" s="184"/>
      <c r="AZ20" s="184"/>
      <c r="BA20" s="184"/>
      <c r="BB20" s="82"/>
    </row>
    <row r="21" spans="1:54" ht="16">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0.5327895496295274</v>
      </c>
      <c r="AS22" s="13">
        <f>$AR20/5</f>
        <v>0.5327895496295274</v>
      </c>
      <c r="AT22" s="13">
        <f>$AR20/5</f>
        <v>0.5327895496295274</v>
      </c>
      <c r="AU22" s="13">
        <f>$AR20/5</f>
        <v>0.5327895496295274</v>
      </c>
      <c r="AV22" s="13">
        <f>$AR20/5</f>
        <v>0.5327895496295274</v>
      </c>
      <c r="AW22" s="184"/>
      <c r="AX22" s="184"/>
      <c r="AY22" s="184"/>
      <c r="AZ22" s="184"/>
      <c r="BA22" s="184"/>
      <c r="BB22" s="82"/>
    </row>
    <row r="23" spans="1:54" ht="16">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4.1868818000000002E-2</v>
      </c>
      <c r="AV23" s="212">
        <f>AV15</f>
        <v>4.1308793199999999E-2</v>
      </c>
      <c r="AW23" s="184"/>
      <c r="AX23" s="184"/>
      <c r="AY23" s="184"/>
      <c r="AZ23" s="184"/>
      <c r="BA23" s="184"/>
      <c r="BB23" s="82"/>
    </row>
    <row r="24" spans="1:54" ht="16">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1.1742534363117967</v>
      </c>
      <c r="AW24" s="184"/>
      <c r="AX24" s="184"/>
      <c r="AY24" s="184"/>
      <c r="AZ24" s="184"/>
      <c r="BA24" s="184"/>
      <c r="BB24" s="82"/>
    </row>
    <row r="25" spans="1:54" ht="16">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0.5327895496295274</v>
      </c>
      <c r="AS25" s="13">
        <f>AS22*AS24</f>
        <v>0.55395918454420134</v>
      </c>
      <c r="AT25" s="13">
        <f>AT22*AT24</f>
        <v>0.57687657749411758</v>
      </c>
      <c r="AU25" s="13">
        <f>AU22*AU24</f>
        <v>0.60048822718820161</v>
      </c>
      <c r="AV25" s="13">
        <f>AV22*AV24</f>
        <v>0.6256299594834871</v>
      </c>
      <c r="AW25" s="184"/>
      <c r="AX25" s="184"/>
      <c r="AY25" s="184"/>
      <c r="AZ25" s="184"/>
      <c r="BA25" s="184"/>
      <c r="BB25" s="82"/>
    </row>
    <row r="26" spans="1:54" ht="16">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0.82031517545482557</v>
      </c>
      <c r="AS26" s="13">
        <f>AS25*AS13</f>
        <v>0.88032886286543721</v>
      </c>
      <c r="AT26" s="13">
        <f>AT25*AT13</f>
        <v>0.9532229013469099</v>
      </c>
      <c r="AU26" s="13">
        <f>AU25*AU13</f>
        <v>1.0155498927605671</v>
      </c>
      <c r="AV26" s="13">
        <f>AV25*AV13</f>
        <v>1.0795595404165736</v>
      </c>
      <c r="AW26" s="184"/>
      <c r="AX26" s="184"/>
      <c r="AY26" s="184"/>
      <c r="AZ26" s="184"/>
      <c r="BA26" s="184"/>
      <c r="BB26" s="82"/>
    </row>
    <row r="27" spans="1:54" ht="16">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342.88656016559275</v>
      </c>
      <c r="AQ32" s="9">
        <f>SelectedInputs!AQ351</f>
        <v>325.72322677223258</v>
      </c>
      <c r="AR32" s="30"/>
      <c r="AS32" s="30"/>
      <c r="AT32" s="30"/>
      <c r="AU32" s="30"/>
      <c r="AV32" s="30"/>
      <c r="AW32" s="184"/>
      <c r="AX32" s="184"/>
      <c r="AY32" s="184"/>
      <c r="AZ32" s="184"/>
      <c r="BA32" s="184"/>
      <c r="BB32" s="82"/>
    </row>
    <row r="33" spans="1:54" ht="16">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14.878352597006858</v>
      </c>
      <c r="AS33" s="30">
        <f>IFERROR(((AQ$13-AQ10)/AQ$13) * AQ$32 * AQ$16 * AR$16*AS13,0)</f>
        <v>44.210482809454653</v>
      </c>
      <c r="AT33" s="30"/>
      <c r="AU33" s="30"/>
      <c r="AV33" s="30"/>
      <c r="AW33" s="184"/>
      <c r="AX33" s="184"/>
      <c r="AY33" s="184"/>
      <c r="AZ33" s="184"/>
      <c r="BA33" s="184"/>
      <c r="BB33" s="82"/>
    </row>
    <row r="34" spans="1:54" ht="16">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391.37700000000001</v>
      </c>
      <c r="AK36" s="8">
        <f>SelectedInputs!AK354</f>
        <v>386.80900000000003</v>
      </c>
      <c r="AL36" s="8">
        <f>SelectedInputs!AL354</f>
        <v>377.35319400333327</v>
      </c>
      <c r="AM36" s="8">
        <f>SelectedInputs!AM354</f>
        <v>406.1183723095557</v>
      </c>
      <c r="AN36" s="8">
        <f>SelectedInputs!AN354</f>
        <v>421.42452208894213</v>
      </c>
      <c r="AO36" s="8">
        <f>SelectedInputs!AO354</f>
        <v>415.57624345133331</v>
      </c>
      <c r="AP36" s="8">
        <f>SelectedInputs!AP354</f>
        <v>428.82277486266662</v>
      </c>
      <c r="AQ36" s="9">
        <f>SelectedInputs!AQ354</f>
        <v>518.44197616319991</v>
      </c>
      <c r="AR36" s="8"/>
      <c r="AS36" s="30"/>
      <c r="AT36" s="30"/>
      <c r="AU36" s="30"/>
      <c r="AV36" s="30"/>
      <c r="AW36" s="184"/>
      <c r="AX36" s="184"/>
      <c r="AY36" s="184"/>
      <c r="AZ36" s="184"/>
      <c r="BA36" s="184"/>
      <c r="BB36" s="82"/>
    </row>
    <row r="37" spans="1:54" ht="16">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383.79577345479782</v>
      </c>
      <c r="AK37" s="8">
        <f>SelectedInputs!AK355</f>
        <v>393.23197966848056</v>
      </c>
      <c r="AL37" s="8">
        <f>SelectedInputs!AL355</f>
        <v>381.74368173121564</v>
      </c>
      <c r="AM37" s="8">
        <f>SelectedInputs!AM355</f>
        <v>422.12102735578259</v>
      </c>
      <c r="AN37" s="8">
        <f>SelectedInputs!AN355</f>
        <v>418.91002804350404</v>
      </c>
      <c r="AO37" s="8">
        <f>SelectedInputs!AO355</f>
        <v>438.53533338917987</v>
      </c>
      <c r="AP37" s="8">
        <f>SelectedInputs!AP355</f>
        <v>429.48435268814097</v>
      </c>
      <c r="AQ37" s="9">
        <f>SelectedInputs!AQ355</f>
        <v>526.5732407258464</v>
      </c>
      <c r="AR37" s="8"/>
      <c r="AS37" s="30"/>
      <c r="AT37" s="30"/>
      <c r="AU37" s="30"/>
      <c r="AV37" s="30"/>
      <c r="AW37" s="184"/>
      <c r="AX37" s="184"/>
      <c r="AY37" s="184"/>
      <c r="AZ37" s="184"/>
      <c r="BA37" s="184"/>
      <c r="BB37" s="82"/>
    </row>
    <row r="38" spans="1:54" ht="16">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7.5812265452021848</v>
      </c>
      <c r="AK38" s="7">
        <f t="shared" si="2"/>
        <v>-6.4229796684805365</v>
      </c>
      <c r="AL38" s="7">
        <f t="shared" si="2"/>
        <v>-4.3904877278823733</v>
      </c>
      <c r="AM38" s="7">
        <f t="shared" si="2"/>
        <v>-16.002655046226891</v>
      </c>
      <c r="AN38" s="7">
        <f t="shared" si="2"/>
        <v>2.5144940454380844</v>
      </c>
      <c r="AO38" s="7">
        <f t="shared" si="2"/>
        <v>-22.959089937846556</v>
      </c>
      <c r="AP38" s="7">
        <f t="shared" si="2"/>
        <v>-0.66157782547435318</v>
      </c>
      <c r="AQ38" s="65">
        <f t="shared" si="2"/>
        <v>-8.1312645626464928</v>
      </c>
      <c r="AR38" s="8"/>
      <c r="AS38" s="30"/>
      <c r="AT38" s="30"/>
      <c r="AU38" s="30"/>
      <c r="AV38" s="30"/>
      <c r="AW38" s="184"/>
      <c r="AX38" s="184"/>
      <c r="AY38" s="184"/>
      <c r="AZ38" s="184"/>
      <c r="BA38" s="184"/>
      <c r="BB38" s="82"/>
    </row>
    <row r="39" spans="1:54" ht="16">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v>
      </c>
      <c r="AQ39" s="9">
        <f>SelectedInputs!AQ356</f>
        <v>2.3034246575342463</v>
      </c>
      <c r="AR39" s="8">
        <f>SelectedInputs!AR356</f>
        <v>0</v>
      </c>
      <c r="AS39" s="8"/>
      <c r="AT39" s="30"/>
      <c r="AU39" s="30"/>
      <c r="AV39" s="30"/>
      <c r="AW39" s="184"/>
      <c r="AX39" s="184"/>
      <c r="AY39" s="184"/>
      <c r="AZ39" s="184"/>
      <c r="BA39" s="184"/>
      <c r="BB39" s="82"/>
    </row>
    <row r="40" spans="1:54" ht="16">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6">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7.8747965616128361</v>
      </c>
      <c r="AM42" s="7">
        <f t="shared" si="4"/>
        <v>-6.6620664386984378</v>
      </c>
      <c r="AN42" s="7">
        <f t="shared" si="4"/>
        <v>-4.5686808936950927</v>
      </c>
      <c r="AO42" s="7">
        <f t="shared" si="4"/>
        <v>-16.711529421130265</v>
      </c>
      <c r="AP42" s="7">
        <f t="shared" si="4"/>
        <v>2.6113382584132192</v>
      </c>
      <c r="AQ42" s="65">
        <f t="shared" si="4"/>
        <v>-23.720652134720901</v>
      </c>
      <c r="AR42" s="7">
        <f t="shared" si="4"/>
        <v>-0.69834635304675463</v>
      </c>
      <c r="AS42" s="7"/>
      <c r="AT42" s="7"/>
      <c r="AU42" s="30"/>
      <c r="AV42" s="30"/>
      <c r="AW42" s="184"/>
      <c r="AX42" s="184"/>
      <c r="AY42" s="184"/>
      <c r="AZ42" s="184"/>
      <c r="BA42" s="184"/>
      <c r="BB42" s="82"/>
    </row>
    <row r="43" spans="1:54" ht="16">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-7.8747965616128361</v>
      </c>
      <c r="AM43" s="7">
        <f t="shared" si="5"/>
        <v>6.6620664386984378</v>
      </c>
      <c r="AN43" s="7">
        <f t="shared" si="5"/>
        <v>4.5686808936950927</v>
      </c>
      <c r="AO43" s="7">
        <f t="shared" si="5"/>
        <v>16.711529421130265</v>
      </c>
      <c r="AP43" s="7">
        <f t="shared" si="5"/>
        <v>-2.6113382584132192</v>
      </c>
      <c r="AQ43" s="65">
        <f t="shared" si="5"/>
        <v>23.720652134720901</v>
      </c>
      <c r="AR43" s="30">
        <f t="shared" si="5"/>
        <v>0.69834635304675463</v>
      </c>
      <c r="AS43" s="30"/>
      <c r="AT43" s="30"/>
      <c r="AU43" s="30"/>
      <c r="AV43" s="30"/>
      <c r="AW43" s="184"/>
      <c r="AX43" s="184"/>
      <c r="AY43" s="184"/>
      <c r="AZ43" s="184"/>
      <c r="BA43" s="184"/>
      <c r="BB43" s="82"/>
    </row>
    <row r="44" spans="1:54" ht="16">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
      <c r="A45" s="82"/>
      <c r="B45" s="82"/>
      <c r="C45" s="82"/>
      <c r="D45" s="82"/>
      <c r="E45" s="510" t="s">
        <v>425</v>
      </c>
      <c r="F45" s="509"/>
      <c r="G45" s="509"/>
      <c r="H45" s="509"/>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
      <c r="A46" s="82"/>
      <c r="B46" s="82"/>
      <c r="C46" s="82"/>
      <c r="D46" s="82"/>
      <c r="E46" s="511" t="s">
        <v>426</v>
      </c>
      <c r="F46" s="509"/>
      <c r="G46" s="509" t="s">
        <v>298</v>
      </c>
      <c r="H46" s="509"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0</v>
      </c>
      <c r="AS46" s="8">
        <f>SelectedInputs!AS359</f>
        <v>0</v>
      </c>
      <c r="AT46" s="8">
        <f>SelectedInputs!AT359</f>
        <v>0</v>
      </c>
      <c r="AU46" s="8">
        <f>SelectedInputs!AU359</f>
        <v>0</v>
      </c>
      <c r="AV46" s="8">
        <f>SelectedInputs!AV359</f>
        <v>0</v>
      </c>
      <c r="AW46" s="184"/>
      <c r="AX46" s="184"/>
      <c r="AY46" s="184"/>
      <c r="AZ46" s="184"/>
      <c r="BA46" s="184"/>
      <c r="BB46" s="82"/>
    </row>
    <row r="47" spans="1:54" ht="16">
      <c r="A47" s="82"/>
      <c r="B47" s="82"/>
      <c r="C47" s="82"/>
      <c r="D47" s="82"/>
      <c r="E47" s="511" t="s">
        <v>428</v>
      </c>
      <c r="F47" s="509"/>
      <c r="G47" s="509" t="s">
        <v>298</v>
      </c>
      <c r="H47" s="509"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6">
      <c r="A48" s="82"/>
      <c r="B48" s="82"/>
      <c r="C48" s="82"/>
      <c r="D48" s="82"/>
      <c r="E48" s="512" t="s">
        <v>425</v>
      </c>
      <c r="F48" s="509"/>
      <c r="G48" s="509" t="s">
        <v>298</v>
      </c>
      <c r="H48" s="509"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3">
        <f>AR46-AR47</f>
        <v>0</v>
      </c>
      <c r="AS48" s="513">
        <f>AS46-AS47</f>
        <v>0</v>
      </c>
      <c r="AT48" s="513">
        <f>AT46-AT47</f>
        <v>0</v>
      </c>
      <c r="AU48" s="513">
        <f>AU46-AU47</f>
        <v>0</v>
      </c>
      <c r="AV48" s="513">
        <f>AV46-AV47</f>
        <v>0</v>
      </c>
      <c r="AW48" s="184"/>
      <c r="AX48" s="184"/>
      <c r="AY48" s="184"/>
      <c r="AZ48" s="184"/>
      <c r="BA48" s="184"/>
      <c r="BB48" s="82"/>
    </row>
    <row r="49" spans="1:54" ht="16">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2.5300000000000001E-3</v>
      </c>
      <c r="AK51" s="8">
        <f>SelectedInputs!AK362</f>
        <v>7.92E-3</v>
      </c>
      <c r="AL51" s="8">
        <f>SelectedInputs!AL362</f>
        <v>6.0000000000000001E-3</v>
      </c>
      <c r="AM51" s="8">
        <f>SelectedInputs!AM362</f>
        <v>4.7064999999999996E-2</v>
      </c>
      <c r="AN51" s="8">
        <f>SelectedInputs!AN362</f>
        <v>2.5995000000000001E-2</v>
      </c>
      <c r="AO51" s="8">
        <f>SelectedInputs!AO362</f>
        <v>1.4789999999999999E-2</v>
      </c>
      <c r="AP51" s="8">
        <f>SelectedInputs!AP362</f>
        <v>2.6445E-2</v>
      </c>
      <c r="AQ51" s="9">
        <f>SelectedInputs!AQ362</f>
        <v>0.19011499999999998</v>
      </c>
      <c r="AR51" s="8"/>
      <c r="AS51" s="8"/>
      <c r="AT51" s="30"/>
      <c r="AU51" s="30"/>
      <c r="AV51" s="30"/>
      <c r="AW51" s="184"/>
      <c r="AX51" s="184"/>
      <c r="AY51" s="184"/>
      <c r="AZ51" s="184"/>
      <c r="BA51" s="184"/>
      <c r="BB51" s="82"/>
    </row>
    <row r="52" spans="1:54" ht="16">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2.5300000000000001E-3</v>
      </c>
      <c r="AM52" s="7">
        <f>SUM($AH51:AK51)</f>
        <v>1.0450000000000001E-2</v>
      </c>
      <c r="AN52" s="7">
        <f>SUM($AH51:AL51)</f>
        <v>1.6449999999999999E-2</v>
      </c>
      <c r="AO52" s="7">
        <f>SUM($AH51:AM51)</f>
        <v>6.3514999999999988E-2</v>
      </c>
      <c r="AP52" s="7">
        <f>SUM($AH51:AN51)</f>
        <v>8.9509999999999992E-2</v>
      </c>
      <c r="AQ52" s="65">
        <f>SUM($AH51:AO51)</f>
        <v>0.10429999999999999</v>
      </c>
      <c r="AR52" s="8">
        <f>SUM($AH51:AP51)</f>
        <v>0.130745</v>
      </c>
      <c r="AS52" s="8">
        <f>SUM($AH51:AQ51)</f>
        <v>0.32085999999999998</v>
      </c>
      <c r="AT52" s="30"/>
      <c r="AU52" s="30"/>
      <c r="AV52" s="30"/>
      <c r="AW52" s="184"/>
      <c r="AX52" s="184"/>
      <c r="AY52" s="184"/>
      <c r="AZ52" s="184"/>
      <c r="BA52" s="184"/>
      <c r="BB52" s="82"/>
    </row>
    <row r="53" spans="1:54" ht="16">
      <c r="A53" s="82"/>
      <c r="B53" s="82"/>
      <c r="C53" s="82"/>
      <c r="D53" s="82"/>
      <c r="E53" s="318" t="s">
        <v>433</v>
      </c>
      <c r="F53" s="82"/>
      <c r="G53" s="82" t="s">
        <v>679</v>
      </c>
      <c r="H53" s="82" t="s">
        <v>704</v>
      </c>
      <c r="I53" s="260">
        <f>SelectedInputs!I363</f>
        <v>43</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2.9778065564794178</v>
      </c>
      <c r="AQ59" s="9">
        <f>SelectedInputs!AQ367</f>
        <v>3.1</v>
      </c>
      <c r="AR59" s="30"/>
      <c r="AS59" s="30"/>
      <c r="AT59" s="30"/>
      <c r="AU59" s="30"/>
      <c r="AV59" s="30"/>
      <c r="AW59" s="184"/>
      <c r="AX59" s="184"/>
      <c r="AY59" s="184"/>
      <c r="AZ59" s="184"/>
      <c r="BA59" s="184"/>
      <c r="BB59" s="82"/>
    </row>
    <row r="60" spans="1:54" ht="16">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6">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0.41199999999999998</v>
      </c>
      <c r="AQ61" s="9">
        <f>SelectedInputs!AQ369</f>
        <v>0</v>
      </c>
      <c r="AR61" s="30"/>
      <c r="AS61" s="30"/>
      <c r="AT61" s="30"/>
      <c r="AU61" s="30"/>
      <c r="AV61" s="30"/>
      <c r="AW61" s="184"/>
      <c r="AX61" s="184"/>
      <c r="AY61" s="184"/>
      <c r="AZ61" s="184"/>
      <c r="BA61" s="184"/>
      <c r="BB61" s="82"/>
    </row>
    <row r="62" spans="1:54" ht="16">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4.3108881513703539</v>
      </c>
      <c r="AS62" s="30">
        <f>SUM(AQ59:AQ61)*AQ$13</f>
        <v>4.4498688736759657</v>
      </c>
      <c r="AT62" s="30"/>
      <c r="AU62" s="30"/>
      <c r="AV62" s="30"/>
      <c r="AW62" s="184"/>
      <c r="AX62" s="184"/>
      <c r="AY62" s="184"/>
      <c r="AZ62" s="184"/>
      <c r="BA62" s="184"/>
      <c r="BB62" s="82"/>
    </row>
    <row r="63" spans="1:54" ht="16">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9.2764180650742869</v>
      </c>
      <c r="AQ65" s="9">
        <f>SelectedInputs!AQ371</f>
        <v>9.9076516067560423</v>
      </c>
      <c r="AR65" s="30"/>
      <c r="AS65" s="30"/>
      <c r="AT65" s="30"/>
      <c r="AU65" s="30"/>
      <c r="AV65" s="30"/>
      <c r="AW65" s="184"/>
      <c r="AX65" s="184"/>
      <c r="AY65" s="184"/>
      <c r="AZ65" s="184"/>
      <c r="BA65" s="184"/>
      <c r="BB65" s="82"/>
    </row>
    <row r="66" spans="1:54" ht="16">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6">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6">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15.180155298301134</v>
      </c>
      <c r="AS68" s="30">
        <f>SUM(AQ65:AQ67) * AQ$16 * AR$16 * AS$13</f>
        <v>16.867431701828259</v>
      </c>
      <c r="AT68" s="30"/>
      <c r="AU68" s="30"/>
      <c r="AV68" s="30"/>
      <c r="AW68" s="184"/>
      <c r="AX68" s="184"/>
      <c r="AY68" s="184"/>
      <c r="AZ68" s="184"/>
      <c r="BA68" s="184"/>
      <c r="BB68" s="82"/>
    </row>
    <row r="69" spans="1:54" ht="16">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6">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0.17924521810699581</v>
      </c>
      <c r="AQ75" s="9">
        <f>SelectedInputs!AQ377</f>
        <v>0</v>
      </c>
      <c r="AR75" s="30"/>
      <c r="AS75" s="30"/>
      <c r="AT75" s="30"/>
      <c r="AU75" s="30"/>
      <c r="AV75" s="30"/>
      <c r="AW75" s="184"/>
      <c r="AX75" s="184"/>
      <c r="AY75" s="184"/>
      <c r="AZ75" s="184"/>
      <c r="BA75" s="184"/>
      <c r="BB75" s="82"/>
    </row>
    <row r="76" spans="1:54" ht="16">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6.2918142857142853E-2</v>
      </c>
      <c r="AQ76" s="9">
        <f>SelectedInputs!AQ378</f>
        <v>0</v>
      </c>
      <c r="AR76" s="30"/>
      <c r="AS76" s="30"/>
      <c r="AT76" s="30"/>
      <c r="AU76" s="30"/>
      <c r="AV76" s="30"/>
      <c r="AW76" s="184"/>
      <c r="AX76" s="184"/>
      <c r="AY76" s="184"/>
      <c r="AZ76" s="184"/>
      <c r="BA76" s="184"/>
      <c r="BB76" s="82"/>
    </row>
    <row r="77" spans="1:54" ht="16">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0.12835590379746831</v>
      </c>
      <c r="AQ77" s="9">
        <f>SelectedInputs!AQ379</f>
        <v>0.18356650157480323</v>
      </c>
      <c r="AR77" s="30"/>
      <c r="AS77" s="30"/>
      <c r="AT77" s="30"/>
      <c r="AU77" s="30"/>
      <c r="AV77" s="30"/>
      <c r="AW77" s="184"/>
      <c r="AX77" s="184"/>
      <c r="AY77" s="184"/>
      <c r="AZ77" s="184"/>
      <c r="BA77" s="184"/>
      <c r="BB77" s="82"/>
    </row>
    <row r="78" spans="1:54" ht="16">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0.1793547533225284</v>
      </c>
      <c r="AQ78" s="9">
        <f>SelectedInputs!AQ380</f>
        <v>0.28926906929133861</v>
      </c>
      <c r="AR78" s="30"/>
      <c r="AS78" s="30"/>
      <c r="AT78" s="30"/>
      <c r="AU78" s="30"/>
      <c r="AV78" s="30"/>
      <c r="AW78" s="184"/>
      <c r="AX78" s="184"/>
      <c r="AY78" s="184"/>
      <c r="AZ78" s="184"/>
      <c r="BA78" s="184"/>
      <c r="BB78" s="82"/>
    </row>
    <row r="79" spans="1:54" ht="16">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0.69928633088939507</v>
      </c>
      <c r="AS79" s="30">
        <f>SUM(AQ75:AQ78)*AQ$13</f>
        <v>0.67872783521420987</v>
      </c>
      <c r="AT79" s="30"/>
      <c r="AU79" s="30"/>
      <c r="AV79" s="30"/>
      <c r="AW79" s="184"/>
      <c r="AX79" s="184"/>
      <c r="AY79" s="184"/>
      <c r="AZ79" s="184"/>
      <c r="BA79" s="184"/>
      <c r="BB79" s="82"/>
    </row>
    <row r="80" spans="1:54" ht="16">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1.9773689999999999</v>
      </c>
      <c r="AQ83" s="9">
        <f>SelectedInputs!AQ384</f>
        <v>2.0779999999999998</v>
      </c>
      <c r="AR83" s="30"/>
      <c r="AS83" s="30"/>
      <c r="AT83" s="30"/>
      <c r="AU83" s="30"/>
      <c r="AV83" s="30"/>
      <c r="AW83" s="184"/>
      <c r="AX83" s="184"/>
      <c r="AY83" s="184"/>
      <c r="AZ83" s="184"/>
      <c r="BA83" s="184"/>
      <c r="BB83" s="82"/>
    </row>
    <row r="84" spans="1:54" ht="16">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v>
      </c>
      <c r="AQ84" s="9">
        <f>SelectedInputs!AQ385</f>
        <v>1</v>
      </c>
      <c r="AR84" s="30"/>
      <c r="AS84" s="30"/>
      <c r="AT84" s="30"/>
      <c r="AU84" s="30"/>
      <c r="AV84" s="30"/>
      <c r="AW84" s="184"/>
      <c r="AX84" s="184"/>
      <c r="AY84" s="184"/>
      <c r="AZ84" s="184"/>
      <c r="BA84" s="184"/>
      <c r="BB84" s="82"/>
    </row>
    <row r="85" spans="1:54" ht="16">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0.90801324353969237</v>
      </c>
      <c r="AS85" s="30">
        <f>(AQ83/AQ$13 - AQ84) * AQ$16 * AR$16 * AS$13</f>
        <v>0.7620883771551521</v>
      </c>
      <c r="AT85" s="30"/>
      <c r="AU85" s="30"/>
      <c r="AV85" s="30"/>
      <c r="AW85" s="184"/>
      <c r="AX85" s="184"/>
      <c r="AY85" s="184"/>
      <c r="AZ85" s="184"/>
      <c r="BA85" s="184"/>
      <c r="BB85" s="82"/>
    </row>
    <row r="86" spans="1:54" ht="16">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36.578758150000006</v>
      </c>
      <c r="AQ88" s="9">
        <f>SelectedInputs!AQ387</f>
        <v>37.1232592</v>
      </c>
      <c r="AR88" s="30"/>
      <c r="AS88" s="30"/>
      <c r="AT88" s="30"/>
      <c r="AU88" s="30"/>
      <c r="AV88" s="30"/>
      <c r="AW88" s="184"/>
      <c r="AX88" s="184"/>
      <c r="AY88" s="184"/>
      <c r="AZ88" s="184"/>
      <c r="BA88" s="184"/>
      <c r="BB88" s="82"/>
    </row>
    <row r="89" spans="1:54" ht="16">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39.299999999999997</v>
      </c>
      <c r="AQ89" s="9">
        <f>SelectedInputs!AQ388</f>
        <v>39.299999999999997</v>
      </c>
      <c r="AR89" s="30"/>
      <c r="AS89" s="30"/>
      <c r="AT89" s="30"/>
      <c r="AU89" s="30"/>
      <c r="AV89" s="30"/>
      <c r="AW89" s="184"/>
      <c r="AX89" s="184"/>
      <c r="AY89" s="184"/>
      <c r="AZ89" s="184"/>
      <c r="BA89" s="184"/>
      <c r="BB89" s="82"/>
    </row>
    <row r="90" spans="1:54" ht="16">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-17.242683898289602</v>
      </c>
      <c r="AS90" s="30">
        <f>(AQ88/AQ$13 - AQ89) * AQ$16 * AR$16 * AS$13</f>
        <v>-22.877881911867537</v>
      </c>
      <c r="AT90" s="30"/>
      <c r="AU90" s="30"/>
      <c r="AV90" s="30"/>
      <c r="AW90" s="184"/>
      <c r="AX90" s="184"/>
      <c r="AY90" s="184"/>
      <c r="AZ90" s="184"/>
      <c r="BA90" s="184"/>
      <c r="BB90" s="82"/>
    </row>
    <row r="91" spans="1:54" ht="16">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21.446964000000001</v>
      </c>
      <c r="AQ93" s="9">
        <f>SelectedInputs!AQ390</f>
        <v>22.565357879683813</v>
      </c>
      <c r="AR93" s="30"/>
      <c r="AS93" s="30"/>
      <c r="AT93" s="30"/>
      <c r="AU93" s="30"/>
      <c r="AV93" s="30"/>
      <c r="AW93" s="184"/>
      <c r="AX93" s="184"/>
      <c r="AY93" s="184"/>
      <c r="AZ93" s="184"/>
      <c r="BA93" s="184"/>
      <c r="BB93" s="82"/>
    </row>
    <row r="94" spans="1:54" ht="16">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21.8</v>
      </c>
      <c r="AQ94" s="9">
        <f>SelectedInputs!AQ391</f>
        <v>21.5</v>
      </c>
      <c r="AR94" s="30"/>
      <c r="AS94" s="30"/>
      <c r="AT94" s="30"/>
      <c r="AU94" s="30"/>
      <c r="AV94" s="30"/>
      <c r="AW94" s="184"/>
      <c r="AX94" s="184"/>
      <c r="AY94" s="184"/>
      <c r="AZ94" s="184"/>
      <c r="BA94" s="184"/>
      <c r="BB94" s="82"/>
    </row>
    <row r="95" spans="1:54" ht="16">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-8.0765391632191506</v>
      </c>
      <c r="AS95" s="30">
        <f>(AQ93/AQ$13 - AQ94) * AQ$16 * AR$16 * AS$13</f>
        <v>-9.8399920246057793</v>
      </c>
      <c r="AT95" s="30"/>
      <c r="AU95" s="30"/>
      <c r="AV95" s="30"/>
      <c r="AW95" s="184"/>
      <c r="AX95" s="184"/>
      <c r="AY95" s="184"/>
      <c r="AZ95" s="184"/>
      <c r="BA95" s="184"/>
      <c r="BB95" s="82"/>
    </row>
    <row r="96" spans="1:54" ht="16">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2.2310092300000002</v>
      </c>
      <c r="AQ98" s="9">
        <f>SelectedInputs!AQ393</f>
        <v>2.4654400954419997</v>
      </c>
      <c r="AR98" s="30"/>
      <c r="AS98" s="30"/>
      <c r="AT98" s="30"/>
      <c r="AU98" s="30"/>
      <c r="AV98" s="30"/>
      <c r="AW98" s="184"/>
      <c r="AX98" s="184"/>
      <c r="AY98" s="184"/>
      <c r="AZ98" s="184"/>
      <c r="BA98" s="184"/>
      <c r="BB98" s="82"/>
    </row>
    <row r="99" spans="1:54" ht="16">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6">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2.870816469151884</v>
      </c>
      <c r="AS100" s="30">
        <f>(AQ98/AQ$13 - AQ99) * AQ$16 * AR$16 * AS$13</f>
        <v>2.9240659835491103</v>
      </c>
      <c r="AT100" s="30"/>
      <c r="AU100" s="30"/>
      <c r="AV100" s="30"/>
      <c r="AW100" s="184"/>
      <c r="AX100" s="184"/>
      <c r="AY100" s="184"/>
      <c r="AZ100" s="184"/>
      <c r="BA100" s="184"/>
      <c r="BB100" s="82"/>
    </row>
    <row r="101" spans="1:54" ht="16">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1.3559367199999999</v>
      </c>
      <c r="AQ103" s="9">
        <f>SelectedInputs!AQ396</f>
        <v>1.3669798720040001</v>
      </c>
      <c r="AR103" s="30"/>
      <c r="AS103" s="30"/>
      <c r="AT103" s="30"/>
      <c r="AU103" s="30"/>
      <c r="AV103" s="30"/>
      <c r="AW103" s="184"/>
      <c r="AX103" s="184"/>
      <c r="AY103" s="184"/>
      <c r="AZ103" s="184"/>
      <c r="BA103" s="184"/>
      <c r="BB103" s="82"/>
    </row>
    <row r="104" spans="1:54" ht="16">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6">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1.7447912875303464</v>
      </c>
      <c r="AS105" s="30">
        <f>(AQ103/AQ$13 - AQ104) * AQ$16 * AR$16 * AS$13</f>
        <v>1.6212680856910511</v>
      </c>
      <c r="AT105" s="30"/>
      <c r="AU105" s="30"/>
      <c r="AV105" s="30"/>
      <c r="AW105" s="184"/>
      <c r="AX105" s="184"/>
      <c r="AY105" s="184"/>
      <c r="AZ105" s="184"/>
      <c r="BA105" s="184"/>
      <c r="BB105" s="82"/>
    </row>
    <row r="106" spans="1:54" ht="16">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0</v>
      </c>
      <c r="AQ108" s="9">
        <f>SelectedInputs!AQ399</f>
        <v>0</v>
      </c>
      <c r="AR108" s="30"/>
      <c r="AS108" s="30"/>
      <c r="AT108" s="30"/>
      <c r="AU108" s="30"/>
      <c r="AV108" s="30"/>
      <c r="AW108" s="184"/>
      <c r="AX108" s="184"/>
      <c r="AY108" s="184"/>
      <c r="AZ108" s="184"/>
      <c r="BA108" s="184"/>
      <c r="BB108" s="82"/>
    </row>
    <row r="109" spans="1:54" ht="16">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6">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4"/>
      <c r="AX110" s="184"/>
      <c r="AY110" s="184"/>
      <c r="AZ110" s="184"/>
      <c r="BA110" s="184"/>
      <c r="BB110" s="82"/>
    </row>
    <row r="111" spans="1:54" ht="16">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6">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6">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6">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6">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6">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6">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0.86829281000000003</v>
      </c>
      <c r="AQ128" s="9">
        <f>SelectedInputs!AQ411</f>
        <v>1.3081697499999905</v>
      </c>
      <c r="AR128" s="7"/>
      <c r="AS128" s="30"/>
      <c r="AT128" s="30"/>
      <c r="AU128" s="30"/>
      <c r="AV128" s="30"/>
      <c r="AW128" s="184"/>
      <c r="AX128" s="184"/>
      <c r="AY128" s="184"/>
      <c r="AZ128" s="184"/>
      <c r="BA128" s="184"/>
      <c r="BB128" s="82"/>
    </row>
    <row r="129" spans="1:54" ht="16">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1.1173012040807055</v>
      </c>
      <c r="AS130" s="30">
        <f>(AQ128/AQ$13) * AQ$16 * AR$16 * AS$13 + AS129</f>
        <v>1.5515179921648616</v>
      </c>
      <c r="AT130" s="30"/>
      <c r="AU130" s="30"/>
      <c r="AV130" s="30"/>
      <c r="AW130" s="184"/>
      <c r="AX130" s="184"/>
      <c r="AY130" s="184"/>
      <c r="AZ130" s="184"/>
      <c r="BA130" s="184"/>
      <c r="BB130" s="82"/>
    </row>
    <row r="131" spans="1:54" ht="16">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0.92268770833333325</v>
      </c>
      <c r="AP133" s="8">
        <f>SelectedInputs!AP413</f>
        <v>1.8407718500000003</v>
      </c>
      <c r="AQ133" s="9">
        <f>SelectedInputs!AQ413</f>
        <v>3.8819858333333332E-2</v>
      </c>
      <c r="AR133" s="30"/>
      <c r="AS133" s="30"/>
      <c r="AT133" s="30"/>
      <c r="AU133" s="30"/>
      <c r="AV133" s="30"/>
      <c r="AW133" s="184"/>
      <c r="AX133" s="184"/>
      <c r="AY133" s="184"/>
      <c r="AZ133" s="184"/>
      <c r="BA133" s="184"/>
      <c r="BB133" s="82"/>
    </row>
    <row r="134" spans="1:54" ht="16">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-7.6545141666666663E-2</v>
      </c>
      <c r="AR134" s="30"/>
      <c r="AS134" s="30"/>
      <c r="AT134" s="30"/>
      <c r="AU134" s="30"/>
      <c r="AV134" s="30"/>
      <c r="AW134" s="184"/>
      <c r="AX134" s="184"/>
      <c r="AY134" s="184"/>
      <c r="AZ134" s="184"/>
      <c r="BA134" s="184"/>
      <c r="BB134" s="82"/>
    </row>
    <row r="135" spans="1:54" ht="16">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1.2967799210877913</v>
      </c>
      <c r="AS135" s="30">
        <f>((AP133-AP134))/AP$13*AP$16*AQ$16*AR$16*AS$13</f>
        <v>2.5419571271678927</v>
      </c>
      <c r="AT135" s="30">
        <f>((AQ133-AQ134))/AQ$13*AQ$16*AR$16*AS$16*AT$13</f>
        <v>0.14815499939809329</v>
      </c>
      <c r="AU135" s="30"/>
      <c r="AV135" s="30"/>
      <c r="AW135" s="184"/>
      <c r="AX135" s="184"/>
      <c r="AY135" s="184"/>
      <c r="AZ135" s="184"/>
      <c r="BA135" s="184"/>
      <c r="BB135" s="82"/>
    </row>
    <row r="136" spans="1:54" ht="16">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6">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6">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6">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0.82031517545482557</v>
      </c>
      <c r="AS146" s="30">
        <f>AS26</f>
        <v>0.88032886286543721</v>
      </c>
      <c r="AT146" s="30">
        <f>AT26</f>
        <v>0.9532229013469099</v>
      </c>
      <c r="AU146" s="30">
        <f>AU26</f>
        <v>1.0155498927605671</v>
      </c>
      <c r="AV146" s="30">
        <f>AV26</f>
        <v>1.0795595404165736</v>
      </c>
      <c r="AW146" s="184"/>
      <c r="AX146" s="184"/>
      <c r="AY146" s="184"/>
      <c r="AZ146" s="184"/>
      <c r="BA146" s="184"/>
      <c r="BB146" s="82"/>
    </row>
    <row r="147" spans="1:54" ht="16">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14.878352597006858</v>
      </c>
      <c r="AS147" s="30">
        <f>AS33</f>
        <v>44.210482809454653</v>
      </c>
      <c r="AT147" s="30"/>
      <c r="AU147" s="30"/>
      <c r="AV147" s="30"/>
      <c r="AW147" s="184"/>
      <c r="AX147" s="184"/>
      <c r="AY147" s="184"/>
      <c r="AZ147" s="184"/>
      <c r="BA147" s="184"/>
      <c r="BB147" s="82"/>
    </row>
    <row r="148" spans="1:54" ht="16">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0.69834635304675463</v>
      </c>
      <c r="AS148" s="30"/>
      <c r="AT148" s="30"/>
      <c r="AU148" s="30"/>
      <c r="AV148" s="30"/>
      <c r="AW148" s="184"/>
      <c r="AX148" s="184"/>
      <c r="AY148" s="184"/>
      <c r="AZ148" s="184"/>
      <c r="BA148" s="184"/>
      <c r="BB148" s="82"/>
    </row>
    <row r="149" spans="1:54" ht="16">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4.3108881513703539</v>
      </c>
      <c r="AS151" s="30">
        <f>AS62</f>
        <v>4.4498688736759657</v>
      </c>
      <c r="AT151" s="30"/>
      <c r="AU151" s="30"/>
      <c r="AV151" s="30"/>
      <c r="AW151" s="184"/>
      <c r="AX151" s="184"/>
      <c r="AY151" s="184"/>
      <c r="AZ151" s="184"/>
      <c r="BA151" s="184"/>
      <c r="BB151" s="82"/>
    </row>
    <row r="152" spans="1:54" ht="16">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15.180155298301134</v>
      </c>
      <c r="AS152" s="30">
        <f>AS68</f>
        <v>16.867431701828259</v>
      </c>
      <c r="AT152" s="30"/>
      <c r="AU152" s="30"/>
      <c r="AV152" s="30"/>
      <c r="AW152" s="184"/>
      <c r="AX152" s="184"/>
      <c r="AY152" s="184"/>
      <c r="AZ152" s="184"/>
      <c r="BA152" s="184"/>
      <c r="BB152" s="82"/>
    </row>
    <row r="153" spans="1:54" ht="16">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0.69928633088939507</v>
      </c>
      <c r="AS154" s="30">
        <f>AS79</f>
        <v>0.67872783521420987</v>
      </c>
      <c r="AT154" s="30"/>
      <c r="AU154" s="30"/>
      <c r="AV154" s="30"/>
      <c r="AW154" s="184"/>
      <c r="AX154" s="184"/>
      <c r="AY154" s="184"/>
      <c r="AZ154" s="184"/>
      <c r="BA154" s="184"/>
      <c r="BB154" s="82"/>
    </row>
    <row r="155" spans="1:54" ht="16">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0.90801324353969237</v>
      </c>
      <c r="AS156" s="30">
        <f>AS85</f>
        <v>0.7620883771551521</v>
      </c>
      <c r="AT156" s="30"/>
      <c r="AU156" s="30"/>
      <c r="AV156" s="30"/>
      <c r="AW156" s="184"/>
      <c r="AX156" s="184"/>
      <c r="AY156" s="184"/>
      <c r="AZ156" s="184"/>
      <c r="BA156" s="184"/>
      <c r="BB156" s="82"/>
    </row>
    <row r="157" spans="1:54" ht="16">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-17.242683898289602</v>
      </c>
      <c r="AS157" s="30">
        <f>AS90</f>
        <v>-22.877881911867537</v>
      </c>
      <c r="AT157" s="30"/>
      <c r="AU157" s="30"/>
      <c r="AV157" s="30"/>
      <c r="AW157" s="184"/>
      <c r="AX157" s="184"/>
      <c r="AY157" s="184"/>
      <c r="AZ157" s="184"/>
      <c r="BA157" s="184"/>
      <c r="BB157" s="82"/>
    </row>
    <row r="158" spans="1:54" ht="16">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-8.0765391632191506</v>
      </c>
      <c r="AS158" s="30">
        <f>AS95</f>
        <v>-9.8399920246057793</v>
      </c>
      <c r="AT158" s="30"/>
      <c r="AU158" s="30"/>
      <c r="AV158" s="30"/>
      <c r="AW158" s="184"/>
      <c r="AX158" s="184"/>
      <c r="AY158" s="184"/>
      <c r="AZ158" s="184"/>
      <c r="BA158" s="184"/>
      <c r="BB158" s="82"/>
    </row>
    <row r="159" spans="1:54" ht="16">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2.870816469151884</v>
      </c>
      <c r="AS159" s="30">
        <f>AS100</f>
        <v>2.9240659835491103</v>
      </c>
      <c r="AT159" s="30"/>
      <c r="AU159" s="30"/>
      <c r="AV159" s="30"/>
      <c r="AW159" s="184"/>
      <c r="AX159" s="184"/>
      <c r="AY159" s="184"/>
      <c r="AZ159" s="184"/>
      <c r="BA159" s="184"/>
      <c r="BB159" s="82"/>
    </row>
    <row r="160" spans="1:54" ht="16">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1.7447912875303464</v>
      </c>
      <c r="AS160" s="30">
        <f>AS105</f>
        <v>1.6212680856910511</v>
      </c>
      <c r="AT160" s="30"/>
      <c r="AU160" s="30"/>
      <c r="AV160" s="30"/>
      <c r="AW160" s="184"/>
      <c r="AX160" s="184"/>
      <c r="AY160" s="184"/>
      <c r="AZ160" s="184"/>
      <c r="BA160" s="184"/>
      <c r="BB160" s="82"/>
    </row>
    <row r="161" spans="1:54" ht="16">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4"/>
      <c r="AX161" s="184"/>
      <c r="AY161" s="184"/>
      <c r="AZ161" s="184"/>
      <c r="BA161" s="184"/>
      <c r="BB161" s="82"/>
    </row>
    <row r="162" spans="1:54" ht="16">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1.1173012040807055</v>
      </c>
      <c r="AS165" s="30">
        <f>AS130</f>
        <v>1.5515179921648616</v>
      </c>
      <c r="AT165" s="30"/>
      <c r="AU165" s="30"/>
      <c r="AV165" s="30"/>
      <c r="AW165" s="184"/>
      <c r="AX165" s="184"/>
      <c r="AY165" s="184"/>
      <c r="AZ165" s="184"/>
      <c r="BA165" s="184"/>
      <c r="BB165" s="82"/>
    </row>
    <row r="166" spans="1:54" ht="16">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1.2967799210877913</v>
      </c>
      <c r="AS166" s="30">
        <f>AS135</f>
        <v>2.5419571271678927</v>
      </c>
      <c r="AT166" s="30">
        <f>AT135</f>
        <v>0.14815499939809329</v>
      </c>
      <c r="AU166" s="30"/>
      <c r="AV166" s="30"/>
      <c r="AW166" s="184"/>
      <c r="AX166" s="184"/>
      <c r="AY166" s="184"/>
      <c r="AZ166" s="184"/>
      <c r="BA166" s="184"/>
      <c r="BB166" s="82"/>
    </row>
    <row r="167" spans="1:54" ht="16">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1" priority="4" operator="equal">
      <formula>FALSE()</formula>
    </cfRule>
  </conditionalFormatting>
  <conditionalFormatting sqref="AM3">
    <cfRule type="expression" dxfId="90" priority="12">
      <formula>$AM$3="OK"</formula>
    </cfRule>
  </conditionalFormatting>
  <conditionalFormatting sqref="AW6:BA6">
    <cfRule type="cellIs" dxfId="89" priority="2" operator="equal">
      <formula>FALSE()</formula>
    </cfRule>
  </conditionalFormatting>
  <conditionalFormatting sqref="AW8:BA167">
    <cfRule type="cellIs" dxfId="8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4089400</xdr:colOff>
                    <xdr:row>0</xdr:row>
                    <xdr:rowOff>69850</xdr:rowOff>
                  </from>
                  <to>
                    <xdr:col>4</xdr:col>
                    <xdr:colOff>5022850</xdr:colOff>
                    <xdr:row>0</xdr:row>
                    <xdr:rowOff>203200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activeCell="AS12" sqref="AS12"/>
    </sheetView>
  </sheetViews>
  <sheetFormatPr defaultColWidth="0" defaultRowHeight="13.5" zeroHeight="1" outlineLevelCol="1"/>
  <cols>
    <col min="1" max="4" width="1.4609375" customWidth="1"/>
    <col min="5" max="5" width="50.460937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48" width="9.61328125" customWidth="1"/>
    <col min="49" max="49" width="3" customWidth="1"/>
    <col min="50" max="99" width="0" hidden="1" customWidth="1"/>
    <col min="100" max="16384" width="9" hidden="1"/>
  </cols>
  <sheetData>
    <row r="1" spans="1:49" ht="18.5">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20.646249178176056</v>
      </c>
      <c r="AS12" s="8">
        <f>(InputSummary!AS31 + InputSummary!AS41)</f>
        <v>24.631857147411846</v>
      </c>
      <c r="AT12" s="8">
        <f>(InputSummary!AT31 + InputSummary!AT41)</f>
        <v>21.960113678980118</v>
      </c>
      <c r="AU12" s="8">
        <f>(InputSummary!AU31 + InputSummary!AU41)</f>
        <v>21.758462381056706</v>
      </c>
      <c r="AV12" s="8">
        <f>(InputSummary!AV31 + InputSummary!AV41)</f>
        <v>22.617794734099331</v>
      </c>
      <c r="AW12" s="2"/>
    </row>
    <row r="13" spans="1:49" ht="16">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67.642966369403595</v>
      </c>
      <c r="AS13" s="8">
        <f>(InputSummary!AS32 + InputSummary!AS42)</f>
        <v>73.963619744470606</v>
      </c>
      <c r="AT13" s="8">
        <f>(InputSummary!AT32 + InputSummary!AT42)</f>
        <v>66.965767197100703</v>
      </c>
      <c r="AU13" s="8">
        <f>(InputSummary!AU32 + InputSummary!AU42)</f>
        <v>69.062501270950349</v>
      </c>
      <c r="AV13" s="8">
        <f>(InputSummary!AV32 + InputSummary!AV42)</f>
        <v>67.809430400105654</v>
      </c>
      <c r="AW13" s="2"/>
    </row>
    <row r="14" spans="1:49" ht="16">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33.746883342797574</v>
      </c>
      <c r="AS14" s="8">
        <f>(InputSummary!AS33 + InputSummary!AS43)</f>
        <v>34.686396449831904</v>
      </c>
      <c r="AT14" s="8">
        <f>(InputSummary!AT33 + InputSummary!AT43)</f>
        <v>31.619333926380673</v>
      </c>
      <c r="AU14" s="8">
        <f>(InputSummary!AU33 + InputSummary!AU43)</f>
        <v>32.142847090510848</v>
      </c>
      <c r="AV14" s="8">
        <f>(InputSummary!AV33 + InputSummary!AV43)</f>
        <v>29.47652202777827</v>
      </c>
      <c r="AW14" s="2"/>
    </row>
    <row r="15" spans="1:49" ht="16">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24.172695943505722</v>
      </c>
      <c r="AS15" s="8">
        <f>(InputSummary!AS34 + InputSummary!AS44)</f>
        <v>24.017920010814088</v>
      </c>
      <c r="AT15" s="8">
        <f>(InputSummary!AT34 + InputSummary!AT44)</f>
        <v>23.785213296291982</v>
      </c>
      <c r="AU15" s="8">
        <f>(InputSummary!AU34 + InputSummary!AU44)</f>
        <v>23.618642378415334</v>
      </c>
      <c r="AV15" s="8">
        <f>(InputSummary!AV34 + InputSummary!AV44)</f>
        <v>23.391138842364491</v>
      </c>
      <c r="AW15" s="2"/>
    </row>
    <row r="16" spans="1:49" ht="16">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3.6653426687486892</v>
      </c>
      <c r="AS16" s="8">
        <f>(InputSummary!AS35 + InputSummary!AS45)</f>
        <v>3.7094841360151025</v>
      </c>
      <c r="AT16" s="8">
        <f>(InputSummary!AT35 + InputSummary!AT45)</f>
        <v>3.6972764076724078</v>
      </c>
      <c r="AU16" s="8">
        <f>(InputSummary!AU35 + InputSummary!AU45)</f>
        <v>3.7951360986319251</v>
      </c>
      <c r="AV16" s="8">
        <f>(InputSummary!AV35 + InputSummary!AV45)</f>
        <v>3.6381849454867505</v>
      </c>
      <c r="AW16" s="2"/>
    </row>
    <row r="17" spans="1:49" ht="16">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15.555305100053603</v>
      </c>
      <c r="AS17" s="8">
        <f>(InputSummary!AS36 + InputSummary!AS46)</f>
        <v>15.44397132738248</v>
      </c>
      <c r="AT17" s="8">
        <f>(InputSummary!AT36 + InputSummary!AT46)</f>
        <v>15.219298441839326</v>
      </c>
      <c r="AU17" s="8">
        <f>(InputSummary!AU36 + InputSummary!AU46)</f>
        <v>14.804031078161294</v>
      </c>
      <c r="AV17" s="8">
        <f>(InputSummary!AV36 + InputSummary!AV46)</f>
        <v>14.60910178454176</v>
      </c>
      <c r="AW17" s="2"/>
    </row>
    <row r="18" spans="1:49" ht="16">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89.232933044978537</v>
      </c>
      <c r="AS18" s="8">
        <f>(InputSummary!AS37 + InputSummary!AS47)</f>
        <v>87.007978103789426</v>
      </c>
      <c r="AT18" s="8">
        <f>(InputSummary!AT37 + InputSummary!AT47)</f>
        <v>86.408127529275049</v>
      </c>
      <c r="AU18" s="8">
        <f>(InputSummary!AU37 + InputSummary!AU47)</f>
        <v>82.717670179813808</v>
      </c>
      <c r="AV18" s="8">
        <f>(InputSummary!AV37 + InputSummary!AV47)</f>
        <v>81.746719743163993</v>
      </c>
      <c r="AW18" s="2"/>
    </row>
    <row r="19" spans="1:49" ht="16">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2"/>
      <c r="AR19" s="431">
        <f t="shared" ref="AR19:AV19" si="0">SUM(AR12:AR18)</f>
        <v>254.66237564766379</v>
      </c>
      <c r="AS19" s="431">
        <f t="shared" si="0"/>
        <v>263.46122691971544</v>
      </c>
      <c r="AT19" s="431">
        <f t="shared" si="0"/>
        <v>249.65513047754027</v>
      </c>
      <c r="AU19" s="431">
        <f t="shared" si="0"/>
        <v>247.89929047754026</v>
      </c>
      <c r="AV19" s="431">
        <f t="shared" si="0"/>
        <v>243.28889247754026</v>
      </c>
      <c r="AW19" s="2"/>
    </row>
    <row r="20" spans="1:49" ht="16">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24.455711666761591</v>
      </c>
      <c r="AS23" s="8">
        <f>InputSummary!AS51</f>
        <v>18.313977738329672</v>
      </c>
      <c r="AT23" s="8">
        <f>InputSummary!AT51</f>
        <v>50.287318539584547</v>
      </c>
      <c r="AU23" s="8">
        <f>InputSummary!AU51</f>
        <v>50.979583324491003</v>
      </c>
      <c r="AV23" s="8">
        <f>InputSummary!AV51</f>
        <v>52.8285650368205</v>
      </c>
      <c r="AW23" s="2"/>
    </row>
    <row r="24" spans="1:49" ht="16">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2.5570152906912496</v>
      </c>
      <c r="AS24" s="8">
        <f>InputSummary!AS52</f>
        <v>9.7427448940612802</v>
      </c>
      <c r="AT24" s="8">
        <f>InputSummary!AT52</f>
        <v>16.743826532446771</v>
      </c>
      <c r="AU24" s="8">
        <f>InputSummary!AU52</f>
        <v>23.00545151209359</v>
      </c>
      <c r="AV24" s="8">
        <f>InputSummary!AV52</f>
        <v>25.401979140057012</v>
      </c>
      <c r="AW24" s="2"/>
    </row>
    <row r="25" spans="1:49" ht="16">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8.51</v>
      </c>
      <c r="AS25" s="8">
        <f>InputSummary!AS53</f>
        <v>14.48</v>
      </c>
      <c r="AT25" s="8">
        <f>InputSummary!AT53</f>
        <v>7.19</v>
      </c>
      <c r="AU25" s="8">
        <f>InputSummary!AU53</f>
        <v>12.875</v>
      </c>
      <c r="AV25" s="8">
        <f>InputSummary!AV53</f>
        <v>24.535</v>
      </c>
      <c r="AW25" s="2"/>
    </row>
    <row r="26" spans="1:49" ht="16">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11.58330067041874</v>
      </c>
      <c r="AT26" s="8">
        <f>InputSummary!AT54</f>
        <v>2.661845</v>
      </c>
      <c r="AU26" s="8">
        <f>InputSummary!AU54</f>
        <v>2.308405</v>
      </c>
      <c r="AV26" s="8">
        <f>InputSummary!AV54</f>
        <v>2.3415400000000002</v>
      </c>
      <c r="AW26" s="2"/>
    </row>
    <row r="27" spans="1:49" ht="16">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5.5606244545285275</v>
      </c>
      <c r="AS29" s="8">
        <f>InputSummary!AS57</f>
        <v>4.9750908266335694</v>
      </c>
      <c r="AT29" s="8">
        <f>InputSummary!AT57</f>
        <v>8.4380014112151223</v>
      </c>
      <c r="AU29" s="8">
        <f>InputSummary!AU57</f>
        <v>8.1680014112151227</v>
      </c>
      <c r="AV29" s="8">
        <f>InputSummary!AV57</f>
        <v>8.8141778151237968</v>
      </c>
      <c r="AW29" s="2"/>
    </row>
    <row r="30" spans="1:49" ht="16">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2"/>
      <c r="AR30" s="431">
        <f t="shared" ref="AR30:AV30" si="1">SUM(AR23:AR29)</f>
        <v>41.083351411981369</v>
      </c>
      <c r="AS30" s="431">
        <f t="shared" si="1"/>
        <v>59.095114129443253</v>
      </c>
      <c r="AT30" s="431">
        <f t="shared" si="1"/>
        <v>85.320991483246445</v>
      </c>
      <c r="AU30" s="431">
        <f t="shared" si="1"/>
        <v>97.336441247799712</v>
      </c>
      <c r="AV30" s="431">
        <f t="shared" si="1"/>
        <v>113.92126199200131</v>
      </c>
      <c r="AW30" s="2"/>
    </row>
    <row r="31" spans="1:49" ht="16">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45.101960844937651</v>
      </c>
      <c r="AS34" s="2">
        <f t="shared" ref="AS34:AV34" si="2">AS12 + AS23</f>
        <v>42.945834885741519</v>
      </c>
      <c r="AT34" s="2">
        <f t="shared" si="2"/>
        <v>72.247432218564668</v>
      </c>
      <c r="AU34" s="2">
        <f t="shared" si="2"/>
        <v>72.738045705547705</v>
      </c>
      <c r="AV34" s="2">
        <f t="shared" si="2"/>
        <v>75.446359770919827</v>
      </c>
      <c r="AW34" s="2"/>
    </row>
    <row r="35" spans="1:49" ht="16">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70.199981660094849</v>
      </c>
      <c r="AS35" s="2">
        <f t="shared" ref="AS35:AV35" si="4">AS13 + AS24</f>
        <v>83.70636463853188</v>
      </c>
      <c r="AT35" s="2">
        <f t="shared" si="4"/>
        <v>83.709593729547478</v>
      </c>
      <c r="AU35" s="2">
        <f t="shared" si="4"/>
        <v>92.067952783043935</v>
      </c>
      <c r="AV35" s="2">
        <f t="shared" si="4"/>
        <v>93.211409540162663</v>
      </c>
      <c r="AW35" s="2"/>
    </row>
    <row r="36" spans="1:49" ht="16">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42.256883342797572</v>
      </c>
      <c r="AS36" s="2">
        <f t="shared" ref="AS36:AV36" si="6">AS14 + AS25</f>
        <v>49.166396449831907</v>
      </c>
      <c r="AT36" s="2">
        <f t="shared" si="6"/>
        <v>38.809333926380674</v>
      </c>
      <c r="AU36" s="2">
        <f t="shared" si="6"/>
        <v>45.017847090510848</v>
      </c>
      <c r="AV36" s="2">
        <f t="shared" si="6"/>
        <v>54.01152202777827</v>
      </c>
      <c r="AW36" s="2"/>
    </row>
    <row r="37" spans="1:49" ht="16">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24.172695943505722</v>
      </c>
      <c r="AS37" s="2">
        <f t="shared" ref="AS37:AV37" si="8">AS15 + AS26</f>
        <v>35.601220681232832</v>
      </c>
      <c r="AT37" s="2">
        <f t="shared" si="8"/>
        <v>26.447058296291981</v>
      </c>
      <c r="AU37" s="2">
        <f t="shared" si="8"/>
        <v>25.927047378415335</v>
      </c>
      <c r="AV37" s="2">
        <f t="shared" si="8"/>
        <v>25.732678842364493</v>
      </c>
      <c r="AW37" s="2"/>
    </row>
    <row r="38" spans="1:49" ht="16">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3.6653426687486892</v>
      </c>
      <c r="AS38" s="2">
        <f t="shared" ref="AS38:AV38" si="10">AS16 + AS27</f>
        <v>3.7094841360151025</v>
      </c>
      <c r="AT38" s="2">
        <f t="shared" si="10"/>
        <v>3.6972764076724078</v>
      </c>
      <c r="AU38" s="2">
        <f t="shared" si="10"/>
        <v>3.7951360986319251</v>
      </c>
      <c r="AV38" s="2">
        <f t="shared" si="10"/>
        <v>3.6381849454867505</v>
      </c>
      <c r="AW38" s="2"/>
    </row>
    <row r="39" spans="1:49" ht="16">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15.555305100053603</v>
      </c>
      <c r="AS39" s="2">
        <f t="shared" ref="AS39:AV39" si="12">AS17 + AS28</f>
        <v>15.44397132738248</v>
      </c>
      <c r="AT39" s="2">
        <f t="shared" si="12"/>
        <v>15.219298441839326</v>
      </c>
      <c r="AU39" s="2">
        <f t="shared" si="12"/>
        <v>14.804031078161294</v>
      </c>
      <c r="AV39" s="2">
        <f t="shared" si="12"/>
        <v>14.60910178454176</v>
      </c>
      <c r="AW39" s="2"/>
    </row>
    <row r="40" spans="1:49" ht="16">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94.79355749950706</v>
      </c>
      <c r="AS40" s="2">
        <f t="shared" ref="AS40:AV40" si="14">AS18 + AS29</f>
        <v>91.983068930423002</v>
      </c>
      <c r="AT40" s="2">
        <f t="shared" si="14"/>
        <v>94.846128940490175</v>
      </c>
      <c r="AU40" s="2">
        <f t="shared" si="14"/>
        <v>90.885671591028938</v>
      </c>
      <c r="AV40" s="2">
        <f t="shared" si="14"/>
        <v>90.560897558287792</v>
      </c>
      <c r="AW40" s="2"/>
    </row>
    <row r="41" spans="1:49" ht="16">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3"/>
      <c r="AR41" s="432">
        <f t="shared" ref="AR41" si="15">SUM(AR34:AR40)</f>
        <v>295.74572705964511</v>
      </c>
      <c r="AS41" s="432">
        <f t="shared" ref="AS41:AV41" si="16">SUM(AS34:AS40)</f>
        <v>322.55634104915873</v>
      </c>
      <c r="AT41" s="432">
        <f t="shared" si="16"/>
        <v>334.97612196078671</v>
      </c>
      <c r="AU41" s="432">
        <f t="shared" si="16"/>
        <v>345.23573172533997</v>
      </c>
      <c r="AV41" s="432">
        <f t="shared" si="16"/>
        <v>357.21015446954152</v>
      </c>
      <c r="AW41" s="2"/>
    </row>
    <row r="42" spans="1:49" ht="16">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2"/>
      <c r="AR42" s="534">
        <f>AR41-SUM(InputSummary!AR31:AR37,InputSummary!AR41:AR47,InputSummary!AR51:AR57)</f>
        <v>0</v>
      </c>
      <c r="AS42" s="534">
        <f>AS41-SUM(InputSummary!AS31:AS37,InputSummary!AS41:AS47,InputSummary!AS51:AS57)</f>
        <v>0</v>
      </c>
      <c r="AT42" s="534">
        <f>AT41-SUM(InputSummary!AT31:AT37,InputSummary!AT41:AT47,InputSummary!AT51:AT57)</f>
        <v>0</v>
      </c>
      <c r="AU42" s="534">
        <f>AU41-SUM(InputSummary!AU31:AU37,InputSummary!AU41:AU47,InputSummary!AU51:AU57)</f>
        <v>0</v>
      </c>
      <c r="AV42" s="534">
        <f>AV41-SUM(InputSummary!AV31:AV37,InputSummary!AV41:AV47,InputSummary!AV51:AV57)</f>
        <v>0</v>
      </c>
      <c r="AW42" s="2"/>
    </row>
    <row r="43" spans="1:49" ht="1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
      <c r="E51" s="7" t="s">
        <v>125</v>
      </c>
      <c r="G51" s="2" t="s">
        <v>101</v>
      </c>
      <c r="AJ51" s="8"/>
      <c r="AK51" s="8"/>
      <c r="AL51" s="8"/>
      <c r="AM51" s="8"/>
      <c r="AN51" s="8"/>
      <c r="AO51" s="8"/>
      <c r="AP51" s="8"/>
      <c r="AQ51" s="9"/>
      <c r="AR51" s="8">
        <f>(InputSummary!AR61 *  AR$49 + AR12 *  (1-AR$49))</f>
        <v>7.4053036420619307</v>
      </c>
      <c r="AS51" s="8">
        <f>(InputSummary!AS61 *  AS$49 + AS12 *  (1-AS$49))</f>
        <v>15.579650402661066</v>
      </c>
      <c r="AT51" s="8">
        <f>(InputSummary!AT61 *  AT$49 + AT12 *  (1-AT$49))</f>
        <v>16.432369984722207</v>
      </c>
      <c r="AU51" s="8">
        <f>(InputSummary!AU61 *  AU$49 + AU12 *  (1-AU$49))</f>
        <v>21.296862946633006</v>
      </c>
      <c r="AV51" s="8">
        <f>(InputSummary!AV61 *  AV$49 + AV12 *  (1-AV$49))</f>
        <v>29.36767140788028</v>
      </c>
    </row>
    <row r="52" spans="1:49" ht="16">
      <c r="E52" s="7" t="s">
        <v>127</v>
      </c>
      <c r="G52" s="2" t="s">
        <v>101</v>
      </c>
      <c r="AJ52" s="8"/>
      <c r="AK52" s="8"/>
      <c r="AL52" s="8"/>
      <c r="AM52" s="8"/>
      <c r="AN52" s="8"/>
      <c r="AO52" s="8"/>
      <c r="AP52" s="8"/>
      <c r="AQ52" s="9"/>
      <c r="AR52" s="8">
        <f>(InputSummary!AR62 *  AR$49 + AR13 *  (1-AR$49))</f>
        <v>60.468026987655804</v>
      </c>
      <c r="AS52" s="8">
        <f>(InputSummary!AS62 *  AS$49 + AS13 *  (1-AS$49))</f>
        <v>76.438580658507917</v>
      </c>
      <c r="AT52" s="8">
        <f>(InputSummary!AT62 *  AT$49 + AT13 *  (1-AT$49))</f>
        <v>80.819104464764479</v>
      </c>
      <c r="AU52" s="8">
        <f>(InputSummary!AU62 *  AU$49 + AU13 *  (1-AU$49))</f>
        <v>63.904824534846199</v>
      </c>
      <c r="AV52" s="8">
        <f>(InputSummary!AV62 *  AV$49 + AV13 *  (1-AV$49))</f>
        <v>53.524458982191916</v>
      </c>
    </row>
    <row r="53" spans="1:49" ht="16">
      <c r="E53" s="7" t="s">
        <v>129</v>
      </c>
      <c r="G53" s="2" t="s">
        <v>101</v>
      </c>
      <c r="AJ53" s="8"/>
      <c r="AK53" s="8"/>
      <c r="AL53" s="8"/>
      <c r="AM53" s="8"/>
      <c r="AN53" s="8"/>
      <c r="AO53" s="8"/>
      <c r="AP53" s="8"/>
      <c r="AQ53" s="9"/>
      <c r="AR53" s="8">
        <f>(InputSummary!AR63 *  AR$49 + AR14 *  (1-AR$49))</f>
        <v>19.04980957880942</v>
      </c>
      <c r="AS53" s="8">
        <f>(InputSummary!AS63 *  AS$49 + AS14 *  (1-AS$49))</f>
        <v>29.539302882342923</v>
      </c>
      <c r="AT53" s="8">
        <f>(InputSummary!AT63 *  AT$49 + AT14 *  (1-AT$49))</f>
        <v>28.29726300653217</v>
      </c>
      <c r="AU53" s="8">
        <f>(InputSummary!AU63 *  AU$49 + AU14 *  (1-AU$49))</f>
        <v>32.235833929111479</v>
      </c>
      <c r="AV53" s="8">
        <f>(InputSummary!AV63 *  AV$49 + AV14 *  (1-AV$49))</f>
        <v>29.11910412505943</v>
      </c>
    </row>
    <row r="54" spans="1:49" ht="16">
      <c r="E54" s="7" t="s">
        <v>131</v>
      </c>
      <c r="G54" s="2" t="s">
        <v>101</v>
      </c>
      <c r="AJ54" s="8"/>
      <c r="AK54" s="8"/>
      <c r="AL54" s="8"/>
      <c r="AM54" s="8"/>
      <c r="AN54" s="8"/>
      <c r="AO54" s="8"/>
      <c r="AP54" s="8"/>
      <c r="AQ54" s="9"/>
      <c r="AR54" s="8">
        <f>(InputSummary!AR64 *  AR$49 + AR15 *  (1-AR$49))</f>
        <v>25.181093346116146</v>
      </c>
      <c r="AS54" s="8">
        <f>(InputSummary!AS64 *  AS$49 + AS15 *  (1-AS$49))</f>
        <v>29.37336217382099</v>
      </c>
      <c r="AT54" s="8">
        <f>(InputSummary!AT64 *  AT$49 + AT15 *  (1-AT$49))</f>
        <v>23.968266934420384</v>
      </c>
      <c r="AU54" s="8">
        <f>(InputSummary!AU64 *  AU$49 + AU15 *  (1-AU$49))</f>
        <v>23.817107270928545</v>
      </c>
      <c r="AV54" s="8">
        <f>(InputSummary!AV64 *  AV$49 + AV15 *  (1-AV$49))</f>
        <v>23.615532175399203</v>
      </c>
    </row>
    <row r="55" spans="1:49" ht="16">
      <c r="E55" s="7" t="s">
        <v>133</v>
      </c>
      <c r="G55" s="2" t="s">
        <v>101</v>
      </c>
      <c r="AJ55" s="8"/>
      <c r="AK55" s="8"/>
      <c r="AL55" s="8"/>
      <c r="AM55" s="8"/>
      <c r="AN55" s="8"/>
      <c r="AO55" s="8"/>
      <c r="AP55" s="8"/>
      <c r="AQ55" s="9"/>
      <c r="AR55" s="8">
        <f>(InputSummary!AR65 *  AR$49 + AR16 *  (1-AR$49))</f>
        <v>4.4841398367760021</v>
      </c>
      <c r="AS55" s="8">
        <f>(InputSummary!AS65 *  AS$49 + AS16 *  (1-AS$49))</f>
        <v>6.1282418038414797</v>
      </c>
      <c r="AT55" s="8">
        <f>(InputSummary!AT65 *  AT$49 + AT16 *  (1-AT$49))</f>
        <v>3.9415675227154185</v>
      </c>
      <c r="AU55" s="8">
        <f>(InputSummary!AU65 *  AU$49 + AU16 *  (1-AU$49))</f>
        <v>3.9472145737929156</v>
      </c>
      <c r="AV55" s="8">
        <f>(InputSummary!AV65 *  AV$49 + AV16 *  (1-AV$49))</f>
        <v>3.9502466302869239</v>
      </c>
    </row>
    <row r="56" spans="1:49" ht="16">
      <c r="E56" s="7" t="s">
        <v>135</v>
      </c>
      <c r="G56" s="2" t="s">
        <v>101</v>
      </c>
      <c r="AJ56" s="8"/>
      <c r="AK56" s="8"/>
      <c r="AL56" s="8"/>
      <c r="AM56" s="8"/>
      <c r="AN56" s="8"/>
      <c r="AO56" s="8"/>
      <c r="AP56" s="8"/>
      <c r="AQ56" s="9"/>
      <c r="AR56" s="8">
        <f>(InputSummary!AR66 *  AR$49 + AR17 *  (1-AR$49))</f>
        <v>18.358374762784134</v>
      </c>
      <c r="AS56" s="8">
        <f>(InputSummary!AS66 *  AS$49 + AS17 *  (1-AS$49))</f>
        <v>13.064714582301995</v>
      </c>
      <c r="AT56" s="8">
        <f>(InputSummary!AT66 *  AT$49 + AT17 *  (1-AT$49))</f>
        <v>18.174938098241526</v>
      </c>
      <c r="AU56" s="8">
        <f>(InputSummary!AU66 *  AU$49 + AU17 *  (1-AU$49))</f>
        <v>17.324673414570764</v>
      </c>
      <c r="AV56" s="8">
        <f>(InputSummary!AV66 *  AV$49 + AV17 *  (1-AV$49))</f>
        <v>17.549235675543112</v>
      </c>
    </row>
    <row r="57" spans="1:49" ht="16">
      <c r="E57" s="7" t="s">
        <v>137</v>
      </c>
      <c r="G57" s="2" t="s">
        <v>101</v>
      </c>
      <c r="AJ57" s="8"/>
      <c r="AK57" s="8"/>
      <c r="AL57" s="8"/>
      <c r="AM57" s="8"/>
      <c r="AN57" s="8"/>
      <c r="AO57" s="8"/>
      <c r="AP57" s="8"/>
      <c r="AQ57" s="9"/>
      <c r="AR57" s="8">
        <f>(InputSummary!AR67 *  AR$49 + AR18 *  (1-AR$49))</f>
        <v>90.180273290682564</v>
      </c>
      <c r="AS57" s="8">
        <f>(InputSummary!AS67 *  AS$49 + AS18 *  (1-AS$49))</f>
        <v>99.638480514271393</v>
      </c>
      <c r="AT57" s="8">
        <f>(InputSummary!AT67 *  AT$49 + AT18 *  (1-AT$49))</f>
        <v>111.74184577802872</v>
      </c>
      <c r="AU57" s="8">
        <f>(InputSummary!AU67 *  AU$49 + AU18 *  (1-AU$49))</f>
        <v>103.25745746324677</v>
      </c>
      <c r="AV57" s="8">
        <f>(InputSummary!AV67 *  AV$49 + AV18 *  (1-AV$49))</f>
        <v>100.4098535490651</v>
      </c>
    </row>
    <row r="58" spans="1:49" ht="16">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2"/>
      <c r="AR58" s="431">
        <f t="shared" ref="AR58:AV58" si="17">SUM(AR51:AR57)</f>
        <v>225.127021444886</v>
      </c>
      <c r="AS58" s="431">
        <f t="shared" si="17"/>
        <v>269.76233301774778</v>
      </c>
      <c r="AT58" s="431">
        <f t="shared" si="17"/>
        <v>283.37535578942493</v>
      </c>
      <c r="AU58" s="431">
        <f t="shared" si="17"/>
        <v>265.78397413312968</v>
      </c>
      <c r="AV58" s="431">
        <f t="shared" si="17"/>
        <v>257.53610254542599</v>
      </c>
      <c r="AW58" s="2"/>
    </row>
    <row r="59" spans="1:49" ht="16">
      <c r="E59" s="13"/>
      <c r="G59" s="2"/>
      <c r="AJ59" s="8"/>
      <c r="AK59" s="8"/>
      <c r="AL59" s="8"/>
      <c r="AM59" s="8"/>
      <c r="AN59" s="8"/>
      <c r="AO59" s="8"/>
      <c r="AP59" s="8"/>
      <c r="AQ59" s="9"/>
      <c r="AR59" s="379"/>
      <c r="AS59" s="379"/>
      <c r="AT59" s="379"/>
      <c r="AU59" s="379"/>
      <c r="AV59" s="379"/>
    </row>
    <row r="60" spans="1:49" ht="16">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
      <c r="E64" s="7" t="s">
        <v>125</v>
      </c>
      <c r="G64" s="2" t="s">
        <v>101</v>
      </c>
      <c r="AJ64" s="8"/>
      <c r="AK64" s="8"/>
      <c r="AL64" s="8"/>
      <c r="AM64" s="8"/>
      <c r="AN64" s="8"/>
      <c r="AO64" s="8"/>
      <c r="AP64" s="8"/>
      <c r="AQ64" s="9"/>
      <c r="AR64" s="8">
        <f>((InputSummary!AR72)*  AR$62 + AR23 *  (1-AR$62))</f>
        <v>27.551803839442329</v>
      </c>
      <c r="AS64" s="8">
        <f>((InputSummary!AS72)*  AS$62 + AS23 *  (1-AS$62))</f>
        <v>32.419644532321904</v>
      </c>
      <c r="AT64" s="8">
        <f>((InputSummary!AT72)*  AT$62 + AT23 *  (1-AT$62))</f>
        <v>57.533940403947732</v>
      </c>
      <c r="AU64" s="8">
        <f>((InputSummary!AU72)*  AU$62 + AU23 *  (1-AU$62))</f>
        <v>57.533940403947732</v>
      </c>
      <c r="AV64" s="8">
        <f>((InputSummary!AV72)*  AV$62 + AV23 *  (1-AV$62))</f>
        <v>59.136194621825609</v>
      </c>
    </row>
    <row r="65" spans="1:49" ht="16">
      <c r="E65" s="7" t="s">
        <v>127</v>
      </c>
      <c r="G65" s="2" t="s">
        <v>101</v>
      </c>
      <c r="AJ65" s="8"/>
      <c r="AK65" s="8"/>
      <c r="AL65" s="8"/>
      <c r="AM65" s="8"/>
      <c r="AN65" s="8"/>
      <c r="AO65" s="8"/>
      <c r="AP65" s="8"/>
      <c r="AQ65" s="9"/>
      <c r="AR65" s="8">
        <f>((InputSummary!AR73)*  AR$62 + AR24 *  (1-AR$62))</f>
        <v>5.0435576535865181</v>
      </c>
      <c r="AS65" s="8">
        <f>((InputSummary!AS73)*  AS$62 + AS24 *  (1-AS$62))</f>
        <v>13.241743911065871</v>
      </c>
      <c r="AT65" s="8">
        <f>((InputSummary!AT73)*  AT$62 + AT24 *  (1-AT$62))</f>
        <v>16.921389521173417</v>
      </c>
      <c r="AU65" s="8">
        <f>((InputSummary!AU73)*  AU$62 + AU24 *  (1-AU$62))</f>
        <v>23.107999811505177</v>
      </c>
      <c r="AV65" s="8">
        <f>((InputSummary!AV73)*  AV$62 + AV24 *  (1-AV$62))</f>
        <v>25.460868262491388</v>
      </c>
    </row>
    <row r="66" spans="1:49" ht="16">
      <c r="E66" s="7" t="s">
        <v>129</v>
      </c>
      <c r="G66" s="2" t="s">
        <v>101</v>
      </c>
      <c r="AJ66" s="8"/>
      <c r="AK66" s="8"/>
      <c r="AL66" s="8"/>
      <c r="AM66" s="8"/>
      <c r="AN66" s="8"/>
      <c r="AO66" s="8"/>
      <c r="AP66" s="8"/>
      <c r="AQ66" s="9"/>
      <c r="AR66" s="8">
        <f>((InputSummary!AR74)*  AR$62 + AR25 *  (1-AR$62))</f>
        <v>6.6457663075027469</v>
      </c>
      <c r="AS66" s="8">
        <f>((InputSummary!AS74)*  AS$62 + AS25 *  (1-AS$62))</f>
        <v>7.4275819720431215</v>
      </c>
      <c r="AT66" s="8">
        <f>((InputSummary!AT74)*  AT$62 + AT25 *  (1-AT$62))</f>
        <v>14.622217240151381</v>
      </c>
      <c r="AU66" s="8">
        <f>((InputSummary!AU74)*  AU$62 + AU25 *  (1-AU$62))</f>
        <v>31.232217240151382</v>
      </c>
      <c r="AV66" s="8">
        <f>((InputSummary!AV74)*  AV$62 + AV25 *  (1-AV$62))</f>
        <v>33.012217240151379</v>
      </c>
    </row>
    <row r="67" spans="1:49" ht="16">
      <c r="E67" s="7" t="s">
        <v>131</v>
      </c>
      <c r="G67" s="2" t="s">
        <v>101</v>
      </c>
      <c r="AJ67" s="8"/>
      <c r="AK67" s="8"/>
      <c r="AL67" s="8"/>
      <c r="AM67" s="8"/>
      <c r="AN67" s="8"/>
      <c r="AO67" s="8"/>
      <c r="AP67" s="8"/>
      <c r="AQ67" s="9"/>
      <c r="AR67" s="8">
        <f>((InputSummary!AR75)*  AR$62 + AR26 *  (1-AR$62))</f>
        <v>0</v>
      </c>
      <c r="AS67" s="8">
        <f>((InputSummary!AS75)*  AS$62 + AS26 *  (1-AS$62))</f>
        <v>8.0709906704187411</v>
      </c>
      <c r="AT67" s="8">
        <f>((InputSummary!AT75)*  AT$62 + AT26 *  (1-AT$62))</f>
        <v>0</v>
      </c>
      <c r="AU67" s="8">
        <f>((InputSummary!AU75)*  AU$62 + AU26 *  (1-AU$62))</f>
        <v>0</v>
      </c>
      <c r="AV67" s="8">
        <f>((InputSummary!AV75)*  AV$62 + AV26 *  (1-AV$62))</f>
        <v>0</v>
      </c>
    </row>
    <row r="68" spans="1:49" ht="16">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
      <c r="E70" s="7" t="s">
        <v>137</v>
      </c>
      <c r="G70" s="2" t="s">
        <v>101</v>
      </c>
      <c r="AJ70" s="8"/>
      <c r="AK70" s="8"/>
      <c r="AL70" s="8"/>
      <c r="AM70" s="8"/>
      <c r="AN70" s="8"/>
      <c r="AO70" s="8"/>
      <c r="AP70" s="8"/>
      <c r="AQ70" s="9"/>
      <c r="AR70" s="8">
        <f>((InputSummary!AR78)*  AR$62 + AR29 *  (1-AR$62))</f>
        <v>0</v>
      </c>
      <c r="AS70" s="8">
        <f>((InputSummary!AS78)*  AS$62 + AS29 *  (1-AS$62))</f>
        <v>0</v>
      </c>
      <c r="AT70" s="8">
        <f>((InputSummary!AT78)*  AT$62 + AT29 *  (1-AT$62))</f>
        <v>0</v>
      </c>
      <c r="AU70" s="8">
        <f>((InputSummary!AU78)*  AU$62 + AU29 *  (1-AU$62))</f>
        <v>0</v>
      </c>
      <c r="AV70" s="8">
        <f>((InputSummary!AV78)*  AV$62 + AV29 *  (1-AV$62))</f>
        <v>0</v>
      </c>
    </row>
    <row r="71" spans="1:49" ht="16">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2"/>
      <c r="AR71" s="431">
        <f t="shared" ref="AR71:AV71" si="18">SUM(AR64:AR70)</f>
        <v>39.241127800531594</v>
      </c>
      <c r="AS71" s="431">
        <f t="shared" si="18"/>
        <v>61.159961085849645</v>
      </c>
      <c r="AT71" s="431">
        <f t="shared" si="18"/>
        <v>89.077547165272534</v>
      </c>
      <c r="AU71" s="431">
        <f t="shared" si="18"/>
        <v>111.87415745560429</v>
      </c>
      <c r="AV71" s="431">
        <f t="shared" si="18"/>
        <v>117.60928012446837</v>
      </c>
      <c r="AW71" s="2"/>
    </row>
    <row r="72" spans="1:49" ht="16">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
      <c r="E74" s="13"/>
      <c r="G74" s="2"/>
      <c r="AJ74" s="8"/>
      <c r="AK74" s="8"/>
      <c r="AL74" s="8"/>
      <c r="AM74" s="8"/>
      <c r="AN74" s="8"/>
      <c r="AO74" s="8"/>
      <c r="AP74" s="8"/>
      <c r="AQ74" s="9"/>
      <c r="AR74" s="8"/>
      <c r="AS74" s="8"/>
      <c r="AT74" s="8"/>
      <c r="AU74" s="8"/>
      <c r="AV74" s="8"/>
    </row>
    <row r="75" spans="1:49" ht="16">
      <c r="E75" s="7" t="s">
        <v>815</v>
      </c>
      <c r="G75" s="2" t="s">
        <v>101</v>
      </c>
      <c r="AJ75" s="7"/>
      <c r="AK75" s="7"/>
      <c r="AL75" s="7"/>
      <c r="AM75" s="7"/>
      <c r="AN75" s="7"/>
      <c r="AO75" s="7"/>
      <c r="AP75" s="7"/>
      <c r="AQ75" s="65"/>
      <c r="AR75" s="7">
        <f>AR51+AR64</f>
        <v>34.957107481504259</v>
      </c>
      <c r="AS75" s="7">
        <f t="shared" ref="AS75:AV75" si="19">AS51+AS64</f>
        <v>47.99929493498297</v>
      </c>
      <c r="AT75" s="7">
        <f t="shared" si="19"/>
        <v>73.966310388669939</v>
      </c>
      <c r="AU75" s="7">
        <f t="shared" si="19"/>
        <v>78.830803350580737</v>
      </c>
      <c r="AV75" s="7">
        <f t="shared" si="19"/>
        <v>88.50386602970589</v>
      </c>
    </row>
    <row r="76" spans="1:49" ht="16">
      <c r="E76" s="7" t="s">
        <v>816</v>
      </c>
      <c r="G76" s="2" t="s">
        <v>101</v>
      </c>
      <c r="AJ76" s="7"/>
      <c r="AK76" s="7"/>
      <c r="AL76" s="7"/>
      <c r="AM76" s="7"/>
      <c r="AN76" s="7"/>
      <c r="AO76" s="7"/>
      <c r="AP76" s="7"/>
      <c r="AQ76" s="65"/>
      <c r="AR76" s="7">
        <f t="shared" ref="AR76" si="20">AR52+AR65</f>
        <v>65.511584641242322</v>
      </c>
      <c r="AS76" s="7">
        <f t="shared" ref="AS76:AV76" si="21">AS52+AS65</f>
        <v>89.680324569573784</v>
      </c>
      <c r="AT76" s="7">
        <f t="shared" si="21"/>
        <v>97.740493985937889</v>
      </c>
      <c r="AU76" s="7">
        <f t="shared" si="21"/>
        <v>87.01282434635138</v>
      </c>
      <c r="AV76" s="7">
        <f t="shared" si="21"/>
        <v>78.985327244683305</v>
      </c>
    </row>
    <row r="77" spans="1:49" ht="16">
      <c r="E77" s="7" t="s">
        <v>817</v>
      </c>
      <c r="G77" s="2" t="s">
        <v>101</v>
      </c>
      <c r="AJ77" s="7"/>
      <c r="AK77" s="7"/>
      <c r="AL77" s="7"/>
      <c r="AM77" s="7"/>
      <c r="AN77" s="7"/>
      <c r="AO77" s="7"/>
      <c r="AP77" s="7"/>
      <c r="AQ77" s="65"/>
      <c r="AR77" s="7">
        <f t="shared" ref="AR77" si="22">AR53+AR66</f>
        <v>25.695575886312167</v>
      </c>
      <c r="AS77" s="7">
        <f t="shared" ref="AS77:AV77" si="23">AS53+AS66</f>
        <v>36.966884854386045</v>
      </c>
      <c r="AT77" s="7">
        <f t="shared" si="23"/>
        <v>42.919480246683548</v>
      </c>
      <c r="AU77" s="7">
        <f t="shared" si="23"/>
        <v>63.468051169262864</v>
      </c>
      <c r="AV77" s="7">
        <f t="shared" si="23"/>
        <v>62.131321365210809</v>
      </c>
    </row>
    <row r="78" spans="1:49" ht="16">
      <c r="E78" s="7" t="s">
        <v>818</v>
      </c>
      <c r="G78" s="2" t="s">
        <v>101</v>
      </c>
      <c r="AJ78" s="7"/>
      <c r="AK78" s="7"/>
      <c r="AL78" s="7"/>
      <c r="AM78" s="7"/>
      <c r="AN78" s="7"/>
      <c r="AO78" s="7"/>
      <c r="AP78" s="7"/>
      <c r="AQ78" s="65"/>
      <c r="AR78" s="7">
        <f t="shared" ref="AR78" si="24">AR54+AR67</f>
        <v>25.181093346116146</v>
      </c>
      <c r="AS78" s="7">
        <f t="shared" ref="AS78:AV78" si="25">AS54+AS67</f>
        <v>37.444352844239731</v>
      </c>
      <c r="AT78" s="7">
        <f t="shared" si="25"/>
        <v>23.968266934420384</v>
      </c>
      <c r="AU78" s="7">
        <f t="shared" si="25"/>
        <v>23.817107270928545</v>
      </c>
      <c r="AV78" s="7">
        <f t="shared" si="25"/>
        <v>23.615532175399203</v>
      </c>
    </row>
    <row r="79" spans="1:49" ht="16">
      <c r="E79" s="7" t="s">
        <v>819</v>
      </c>
      <c r="G79" s="2" t="s">
        <v>101</v>
      </c>
      <c r="AJ79" s="7"/>
      <c r="AK79" s="7"/>
      <c r="AL79" s="7"/>
      <c r="AM79" s="7"/>
      <c r="AN79" s="7"/>
      <c r="AO79" s="7"/>
      <c r="AP79" s="7"/>
      <c r="AQ79" s="65"/>
      <c r="AR79" s="7">
        <f t="shared" ref="AR79" si="26">AR55+AR68</f>
        <v>4.4841398367760021</v>
      </c>
      <c r="AS79" s="7">
        <f t="shared" ref="AS79:AV79" si="27">AS55+AS68</f>
        <v>6.1282418038414797</v>
      </c>
      <c r="AT79" s="7">
        <f t="shared" si="27"/>
        <v>3.9415675227154185</v>
      </c>
      <c r="AU79" s="7">
        <f t="shared" si="27"/>
        <v>3.9472145737929156</v>
      </c>
      <c r="AV79" s="7">
        <f t="shared" si="27"/>
        <v>3.9502466302869239</v>
      </c>
    </row>
    <row r="80" spans="1:49" ht="16">
      <c r="E80" s="7" t="s">
        <v>820</v>
      </c>
      <c r="G80" s="2" t="s">
        <v>101</v>
      </c>
      <c r="AJ80" s="7"/>
      <c r="AK80" s="7"/>
      <c r="AL80" s="7"/>
      <c r="AM80" s="7"/>
      <c r="AN80" s="7"/>
      <c r="AO80" s="7"/>
      <c r="AP80" s="7"/>
      <c r="AQ80" s="65"/>
      <c r="AR80" s="7">
        <f t="shared" ref="AR80" si="28">AR56+AR69</f>
        <v>18.358374762784134</v>
      </c>
      <c r="AS80" s="7">
        <f t="shared" ref="AS80:AV80" si="29">AS56+AS69</f>
        <v>13.064714582301995</v>
      </c>
      <c r="AT80" s="7">
        <f t="shared" si="29"/>
        <v>18.174938098241526</v>
      </c>
      <c r="AU80" s="7">
        <f t="shared" si="29"/>
        <v>17.324673414570764</v>
      </c>
      <c r="AV80" s="7">
        <f t="shared" si="29"/>
        <v>17.549235675543112</v>
      </c>
    </row>
    <row r="81" spans="2:49" ht="16">
      <c r="E81" s="7" t="s">
        <v>821</v>
      </c>
      <c r="G81" s="2" t="s">
        <v>101</v>
      </c>
      <c r="AJ81" s="7"/>
      <c r="AK81" s="7"/>
      <c r="AL81" s="7"/>
      <c r="AM81" s="7"/>
      <c r="AN81" s="7"/>
      <c r="AO81" s="7"/>
      <c r="AP81" s="7"/>
      <c r="AQ81" s="65"/>
      <c r="AR81" s="7">
        <f t="shared" ref="AR81" si="30">AR57+AR70</f>
        <v>90.180273290682564</v>
      </c>
      <c r="AS81" s="7">
        <f t="shared" ref="AS81:AV81" si="31">AS57+AS70</f>
        <v>99.638480514271393</v>
      </c>
      <c r="AT81" s="7">
        <f t="shared" si="31"/>
        <v>111.74184577802872</v>
      </c>
      <c r="AU81" s="7">
        <f t="shared" si="31"/>
        <v>103.25745746324677</v>
      </c>
      <c r="AV81" s="7">
        <f t="shared" si="31"/>
        <v>100.4098535490651</v>
      </c>
    </row>
    <row r="82" spans="2:49" ht="16">
      <c r="E82" s="13" t="s">
        <v>822</v>
      </c>
      <c r="G82" s="2" t="s">
        <v>101</v>
      </c>
      <c r="AJ82" s="432"/>
      <c r="AK82" s="432"/>
      <c r="AL82" s="432"/>
      <c r="AM82" s="432"/>
      <c r="AN82" s="432"/>
      <c r="AO82" s="432"/>
      <c r="AP82" s="432"/>
      <c r="AQ82" s="533"/>
      <c r="AR82" s="432">
        <f t="shared" ref="AR82" si="32">SUM(AR75:AR81)</f>
        <v>264.36814924541761</v>
      </c>
      <c r="AS82" s="432">
        <f t="shared" ref="AS82:AV82" si="33">SUM(AS75:AS81)</f>
        <v>330.92229410359738</v>
      </c>
      <c r="AT82" s="432">
        <f t="shared" si="33"/>
        <v>372.45290295469744</v>
      </c>
      <c r="AU82" s="432">
        <f t="shared" si="33"/>
        <v>377.65813158873402</v>
      </c>
      <c r="AV82" s="432">
        <f t="shared" si="33"/>
        <v>375.14538266989439</v>
      </c>
    </row>
    <row r="83" spans="2:49" ht="16">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
      <c r="E84" s="13"/>
      <c r="AJ84" s="7"/>
      <c r="AK84" s="7"/>
      <c r="AL84" s="7"/>
      <c r="AM84" s="7"/>
      <c r="AN84" s="7"/>
      <c r="AO84" s="7"/>
      <c r="AP84" s="7"/>
      <c r="AQ84" s="7"/>
      <c r="AR84" s="7"/>
      <c r="AS84" s="7"/>
      <c r="AT84" s="7"/>
      <c r="AU84" s="7"/>
      <c r="AV84" s="7"/>
      <c r="AW84" s="7"/>
    </row>
    <row r="85" spans="2:49" ht="16">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7" priority="6" operator="equal">
      <formula>FALSE()</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146050</xdr:colOff>
                    <xdr:row>0</xdr:row>
                    <xdr:rowOff>31750</xdr:rowOff>
                  </from>
                  <to>
                    <xdr:col>7</xdr:col>
                    <xdr:colOff>165100</xdr:colOff>
                    <xdr:row>0</xdr:row>
                    <xdr:rowOff>165100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N5" activePane="bottomRight" state="frozen"/>
      <selection pane="topRight" activeCell="K1" sqref="K1"/>
      <selection pane="bottomLeft" activeCell="A5" sqref="A5"/>
      <selection pane="bottomRight" activeCell="AS14" sqref="AS14"/>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6" customWidth="1"/>
    <col min="10" max="10" width="1.4609375" customWidth="1" collapsed="1"/>
    <col min="11" max="35" width="9.61328125" hidden="1" customWidth="1" outlineLevel="1"/>
    <col min="36" max="48" width="9.61328125" customWidth="1"/>
    <col min="49" max="49" width="3" customWidth="1"/>
    <col min="50" max="99" width="0" hidden="1" customWidth="1"/>
    <col min="100" max="16384" width="9" hidden="1"/>
  </cols>
  <sheetData>
    <row r="1" spans="1:49" ht="18.5">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225.127021444886</v>
      </c>
      <c r="AS13" s="8">
        <f>Totex!AS58</f>
        <v>269.76233301774778</v>
      </c>
      <c r="AT13" s="8">
        <f>Totex!AT58</f>
        <v>283.37535578942493</v>
      </c>
      <c r="AU13" s="8">
        <f>Totex!AU58</f>
        <v>265.78397413312968</v>
      </c>
      <c r="AV13" s="8">
        <f>Totex!AV58</f>
        <v>257.53610254542599</v>
      </c>
      <c r="AW13" s="2"/>
    </row>
    <row r="14" spans="1:49" ht="16">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-254.66237564766379</v>
      </c>
      <c r="AS14" s="8">
        <f>- Totex!AS19</f>
        <v>-263.46122691971544</v>
      </c>
      <c r="AT14" s="8">
        <f>- Totex!AT19</f>
        <v>-249.65513047754027</v>
      </c>
      <c r="AU14" s="8">
        <f>- Totex!AU19</f>
        <v>-247.89929047754026</v>
      </c>
      <c r="AV14" s="8">
        <f>- Totex!AV19</f>
        <v>-243.28889247754026</v>
      </c>
      <c r="AW14" s="2"/>
    </row>
    <row r="15" spans="1:49" ht="16">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3"/>
      <c r="AR15" s="432">
        <f t="shared" ref="AR15:AV15" si="0">SUM(AR13:AR14)</f>
        <v>-29.535354202777796</v>
      </c>
      <c r="AS15" s="432">
        <f t="shared" si="0"/>
        <v>6.301106098032335</v>
      </c>
      <c r="AT15" s="432">
        <f t="shared" si="0"/>
        <v>33.720225311884661</v>
      </c>
      <c r="AU15" s="432">
        <f t="shared" si="0"/>
        <v>17.884683655589413</v>
      </c>
      <c r="AV15" s="432">
        <f t="shared" si="0"/>
        <v>14.247210067885732</v>
      </c>
      <c r="AW15" s="2"/>
    </row>
    <row r="16" spans="1:49" ht="16">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6">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5"/>
      <c r="AK19" s="535"/>
      <c r="AL19" s="535"/>
      <c r="AM19" s="535"/>
      <c r="AN19" s="535"/>
      <c r="AO19" s="535"/>
      <c r="AP19" s="535"/>
      <c r="AQ19" s="383"/>
      <c r="AR19" s="464">
        <f t="shared" ref="AR19:AV19" si="2">AR15 * AR17</f>
        <v>-14.767677101388898</v>
      </c>
      <c r="AS19" s="464">
        <f t="shared" si="2"/>
        <v>3.1505530490161675</v>
      </c>
      <c r="AT19" s="464">
        <f t="shared" si="2"/>
        <v>16.860112655942331</v>
      </c>
      <c r="AU19" s="464">
        <f t="shared" si="2"/>
        <v>8.9423418277947064</v>
      </c>
      <c r="AV19" s="464">
        <f t="shared" si="2"/>
        <v>7.1236050339428658</v>
      </c>
      <c r="AW19" s="2"/>
    </row>
    <row r="20" spans="1:49" ht="16">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39.241127800531594</v>
      </c>
      <c r="AS26" s="8">
        <f>Totex!AS71</f>
        <v>61.159961085849645</v>
      </c>
      <c r="AT26" s="8">
        <f>Totex!AT71</f>
        <v>89.077547165272534</v>
      </c>
      <c r="AU26" s="8">
        <f>Totex!AU71</f>
        <v>111.87415745560429</v>
      </c>
      <c r="AV26" s="8">
        <f>Totex!AV71</f>
        <v>117.60928012446837</v>
      </c>
      <c r="AW26" s="2"/>
    </row>
    <row r="27" spans="1:49" ht="16">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-41.083351411981369</v>
      </c>
      <c r="AS27" s="8">
        <f>- Totex!AS30</f>
        <v>-59.095114129443253</v>
      </c>
      <c r="AT27" s="8">
        <f>- Totex!AT30</f>
        <v>-85.320991483246445</v>
      </c>
      <c r="AU27" s="8">
        <f>- Totex!AU30</f>
        <v>-97.336441247799712</v>
      </c>
      <c r="AV27" s="8">
        <f>- Totex!AV30</f>
        <v>-113.92126199200131</v>
      </c>
      <c r="AW27" s="2"/>
    </row>
    <row r="28" spans="1:49" ht="16">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3"/>
      <c r="AR28" s="432">
        <f t="shared" ref="AR28:AV28" si="3">SUM(AR26:AR27)</f>
        <v>-1.842223611449775</v>
      </c>
      <c r="AS28" s="432">
        <f t="shared" si="3"/>
        <v>2.0648469564063916</v>
      </c>
      <c r="AT28" s="432">
        <f t="shared" si="3"/>
        <v>3.7565556820260895</v>
      </c>
      <c r="AU28" s="432">
        <f t="shared" si="3"/>
        <v>14.537716207804579</v>
      </c>
      <c r="AV28" s="432">
        <f t="shared" si="3"/>
        <v>3.6880181324670644</v>
      </c>
      <c r="AW28" s="2"/>
    </row>
    <row r="29" spans="1:49" ht="16">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6">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6"/>
      <c r="AK32" s="536"/>
      <c r="AL32" s="536"/>
      <c r="AM32" s="536"/>
      <c r="AN32" s="536"/>
      <c r="AO32" s="536"/>
      <c r="AP32" s="536"/>
      <c r="AQ32" s="384"/>
      <c r="AR32" s="536">
        <f t="shared" ref="AR32:AV32" si="5">AR28 * AR30</f>
        <v>-0.92111180572488749</v>
      </c>
      <c r="AS32" s="536">
        <f t="shared" si="5"/>
        <v>1.0324234782031958</v>
      </c>
      <c r="AT32" s="536">
        <f t="shared" si="5"/>
        <v>1.8782778410130447</v>
      </c>
      <c r="AU32" s="536">
        <f t="shared" si="5"/>
        <v>7.2688581039022893</v>
      </c>
      <c r="AV32" s="536">
        <f t="shared" si="5"/>
        <v>1.8440090662335322</v>
      </c>
      <c r="AW32" s="2"/>
    </row>
    <row r="33" spans="1:49" ht="16">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254.66237564766379</v>
      </c>
      <c r="AS38" s="2">
        <f>-AS14</f>
        <v>263.46122691971544</v>
      </c>
      <c r="AT38" s="2">
        <f>-AT14</f>
        <v>249.65513047754027</v>
      </c>
      <c r="AU38" s="2">
        <f>-AU14</f>
        <v>247.89929047754026</v>
      </c>
      <c r="AV38" s="2">
        <f>-AV14</f>
        <v>243.28889247754026</v>
      </c>
      <c r="AW38" s="2"/>
    </row>
    <row r="39" spans="1:49" ht="16">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-14.767677101388898</v>
      </c>
      <c r="AS39" s="2">
        <f>AS19</f>
        <v>3.1505530490161675</v>
      </c>
      <c r="AT39" s="2">
        <f>AT19</f>
        <v>16.860112655942331</v>
      </c>
      <c r="AU39" s="2">
        <f>AU19</f>
        <v>8.9423418277947064</v>
      </c>
      <c r="AV39" s="2">
        <f>AV19</f>
        <v>7.1236050339428658</v>
      </c>
      <c r="AW39" s="2"/>
    </row>
    <row r="40" spans="1:49" ht="16">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3"/>
      <c r="AR40" s="432">
        <f t="shared" ref="AR40:AV40" si="6">SUM(AR38:AR39)</f>
        <v>239.8946985462749</v>
      </c>
      <c r="AS40" s="432">
        <f t="shared" si="6"/>
        <v>266.61177996873164</v>
      </c>
      <c r="AT40" s="432">
        <f t="shared" si="6"/>
        <v>266.51524313348261</v>
      </c>
      <c r="AU40" s="432">
        <f t="shared" si="6"/>
        <v>256.841632305335</v>
      </c>
      <c r="AV40" s="432">
        <f t="shared" si="6"/>
        <v>250.41249751148314</v>
      </c>
      <c r="AW40" s="2"/>
    </row>
    <row r="41" spans="1:49" ht="16">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41.083351411981369</v>
      </c>
      <c r="AS44" s="2">
        <f>-AS27</f>
        <v>59.095114129443253</v>
      </c>
      <c r="AT44" s="2">
        <f>-AT27</f>
        <v>85.320991483246445</v>
      </c>
      <c r="AU44" s="2">
        <f>-AU27</f>
        <v>97.336441247799712</v>
      </c>
      <c r="AV44" s="2">
        <f>-AV27</f>
        <v>113.92126199200131</v>
      </c>
      <c r="AW44" s="2"/>
    </row>
    <row r="45" spans="1:49" ht="16">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-0.92111180572488749</v>
      </c>
      <c r="AS45" s="2">
        <f>AS32</f>
        <v>1.0324234782031958</v>
      </c>
      <c r="AT45" s="2">
        <f>AT32</f>
        <v>1.8782778410130447</v>
      </c>
      <c r="AU45" s="2">
        <f>AU32</f>
        <v>7.2688581039022893</v>
      </c>
      <c r="AV45" s="2">
        <f>AV32</f>
        <v>1.8440090662335322</v>
      </c>
      <c r="AW45" s="2"/>
    </row>
    <row r="46" spans="1:49" ht="16">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3"/>
      <c r="AR46" s="432">
        <f t="shared" ref="AR46:AV46" si="7">SUM(AR44:AR45)</f>
        <v>40.162239606256477</v>
      </c>
      <c r="AS46" s="432">
        <f t="shared" si="7"/>
        <v>60.127537607646445</v>
      </c>
      <c r="AT46" s="432">
        <f t="shared" si="7"/>
        <v>87.19926932425949</v>
      </c>
      <c r="AU46" s="432">
        <f t="shared" si="7"/>
        <v>104.605299351702</v>
      </c>
      <c r="AV46" s="432">
        <f t="shared" si="7"/>
        <v>115.76527105823484</v>
      </c>
      <c r="AW46" s="2"/>
    </row>
    <row r="47" spans="1:49" ht="16">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239.8946985462749</v>
      </c>
      <c r="AS52" s="2">
        <f>AS40</f>
        <v>266.61177996873164</v>
      </c>
      <c r="AT52" s="2">
        <f>AT40</f>
        <v>266.51524313348261</v>
      </c>
      <c r="AU52" s="2">
        <f>AU40</f>
        <v>256.841632305335</v>
      </c>
      <c r="AV52" s="2">
        <f>AV40</f>
        <v>250.41249751148314</v>
      </c>
      <c r="AW52" s="2"/>
    </row>
    <row r="53" spans="1:49" ht="16">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v>
      </c>
      <c r="AS53" s="201">
        <f>InputSummary!AS209</f>
        <v>0.7</v>
      </c>
      <c r="AT53" s="201">
        <f>InputSummary!AT209</f>
        <v>0.7</v>
      </c>
      <c r="AU53" s="201">
        <f>InputSummary!AU209</f>
        <v>0.7</v>
      </c>
      <c r="AV53" s="201">
        <f>InputSummary!AV209</f>
        <v>0.7</v>
      </c>
      <c r="AW53" s="2"/>
    </row>
    <row r="54" spans="1:49" ht="16">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3"/>
      <c r="AR54" s="432">
        <f t="shared" ref="AR54:AV54" si="8">AR52 * (1-AR53)</f>
        <v>71.968409563882474</v>
      </c>
      <c r="AS54" s="432">
        <f t="shared" si="8"/>
        <v>79.983533990619506</v>
      </c>
      <c r="AT54" s="432">
        <f t="shared" si="8"/>
        <v>79.954572940044798</v>
      </c>
      <c r="AU54" s="432">
        <f t="shared" si="8"/>
        <v>77.052489691600513</v>
      </c>
      <c r="AV54" s="432">
        <f t="shared" si="8"/>
        <v>75.123749253444956</v>
      </c>
      <c r="AW54" s="2"/>
    </row>
    <row r="55" spans="1:49" ht="16">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167.92628898239241</v>
      </c>
      <c r="AS55" s="2">
        <f t="shared" si="9"/>
        <v>186.62824597811215</v>
      </c>
      <c r="AT55" s="2">
        <f t="shared" si="9"/>
        <v>186.56067019343783</v>
      </c>
      <c r="AU55" s="2">
        <f t="shared" si="9"/>
        <v>179.7891426137345</v>
      </c>
      <c r="AV55" s="2">
        <f t="shared" si="9"/>
        <v>175.2887482580382</v>
      </c>
      <c r="AW55" s="2"/>
    </row>
    <row r="56" spans="1:49" ht="1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40.162239606256477</v>
      </c>
      <c r="AS59" s="2">
        <f>AS46</f>
        <v>60.127537607646445</v>
      </c>
      <c r="AT59" s="2">
        <f>AT46</f>
        <v>87.19926932425949</v>
      </c>
      <c r="AU59" s="2">
        <f>AU46</f>
        <v>104.605299351702</v>
      </c>
      <c r="AV59" s="2">
        <f>AV46</f>
        <v>115.76527105823484</v>
      </c>
      <c r="AW59" s="2"/>
    </row>
    <row r="60" spans="1:49" ht="16">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3"/>
      <c r="AR61" s="432">
        <f t="shared" ref="AR61:AV61" si="10">AR59 * (1-AR60)</f>
        <v>6.0243359409384727</v>
      </c>
      <c r="AS61" s="432">
        <f t="shared" si="10"/>
        <v>9.0191306411469689</v>
      </c>
      <c r="AT61" s="432">
        <f t="shared" si="10"/>
        <v>13.079890398638925</v>
      </c>
      <c r="AU61" s="432">
        <f t="shared" si="10"/>
        <v>15.690794902755302</v>
      </c>
      <c r="AV61" s="432">
        <f t="shared" si="10"/>
        <v>17.364790658735231</v>
      </c>
      <c r="AW61" s="2"/>
    </row>
    <row r="62" spans="1:49" ht="16">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34.137903665318007</v>
      </c>
      <c r="AS62" s="2">
        <f t="shared" si="11"/>
        <v>51.10840696649948</v>
      </c>
      <c r="AT62" s="2">
        <f t="shared" si="11"/>
        <v>74.119378925620566</v>
      </c>
      <c r="AU62" s="2">
        <f t="shared" si="11"/>
        <v>88.914504448946701</v>
      </c>
      <c r="AV62" s="2">
        <f t="shared" si="11"/>
        <v>98.400480399499614</v>
      </c>
      <c r="AW62" s="2"/>
    </row>
    <row r="63" spans="1:49" ht="1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7"/>
      <c r="AK66" s="537"/>
      <c r="AL66" s="537"/>
      <c r="AM66" s="537"/>
      <c r="AN66" s="537"/>
      <c r="AO66" s="537"/>
      <c r="AP66" s="537"/>
      <c r="AQ66" s="385"/>
      <c r="AR66" s="537">
        <f>AR54+AR61</f>
        <v>77.992745504820945</v>
      </c>
      <c r="AS66" s="537">
        <f t="shared" ref="AS66:AV66" si="12">AS54+AS61</f>
        <v>89.002664631766478</v>
      </c>
      <c r="AT66" s="537">
        <f t="shared" si="12"/>
        <v>93.034463338683722</v>
      </c>
      <c r="AU66" s="537">
        <f t="shared" si="12"/>
        <v>92.743284594355814</v>
      </c>
      <c r="AV66" s="537">
        <f t="shared" si="12"/>
        <v>92.488539912180187</v>
      </c>
    </row>
    <row r="67" spans="1:49">
      <c r="AQ67" s="220"/>
    </row>
    <row r="68" spans="1:49" ht="16">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7"/>
      <c r="AK68" s="537"/>
      <c r="AL68" s="537"/>
      <c r="AM68" s="537"/>
      <c r="AN68" s="537"/>
      <c r="AO68" s="537"/>
      <c r="AP68" s="537"/>
      <c r="AQ68" s="385"/>
      <c r="AR68" s="537">
        <f>AR55+AR62</f>
        <v>202.0641926477104</v>
      </c>
      <c r="AS68" s="537">
        <f t="shared" ref="AS68:AV68" si="13">AS55+AS62</f>
        <v>237.73665294461162</v>
      </c>
      <c r="AT68" s="537">
        <f t="shared" si="13"/>
        <v>260.68004911905837</v>
      </c>
      <c r="AU68" s="537">
        <f t="shared" si="13"/>
        <v>268.70364706268117</v>
      </c>
      <c r="AV68" s="537">
        <f t="shared" si="13"/>
        <v>273.6892286575378</v>
      </c>
    </row>
    <row r="69" spans="1:49" ht="16">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0.72151111120716938</v>
      </c>
      <c r="AS70" s="304">
        <f t="shared" si="14"/>
        <v>0.72760344456873838</v>
      </c>
      <c r="AT70" s="304">
        <f t="shared" si="14"/>
        <v>0.73697866482139751</v>
      </c>
      <c r="AU70" s="304">
        <f t="shared" si="14"/>
        <v>0.74341106128864209</v>
      </c>
      <c r="AV70" s="304">
        <f t="shared" si="14"/>
        <v>0.74742175016949197</v>
      </c>
      <c r="AW70" s="72"/>
    </row>
    <row r="71" spans="1:49" ht="1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6">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3.5" zeroHeight="1" outlineLevelRow="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0" width="9.61328125" hidden="1" customWidth="1" outlineLevel="1"/>
    <col min="31" max="31" width="12.61328125" hidden="1" customWidth="1" outlineLevel="1"/>
    <col min="32" max="35" width="9.61328125" hidden="1" customWidth="1" outlineLevel="1"/>
    <col min="36" max="48" width="9.61328125" customWidth="1"/>
    <col min="49" max="49" width="3" customWidth="1"/>
    <col min="50" max="53" width="9" hidden="1" customWidth="1"/>
    <col min="54" max="54" width="10.765625" hidden="1" customWidth="1"/>
    <col min="55" max="99" width="0" hidden="1" customWidth="1"/>
    <col min="100" max="103" width="9" hidden="1" customWidth="1"/>
    <col min="104" max="104" width="10.765625" hidden="1" customWidth="1"/>
    <col min="105" max="16384" width="9" hidden="1"/>
  </cols>
  <sheetData>
    <row r="1" spans="1:49" ht="18.5">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
      <c r="A11" s="2"/>
      <c r="B11" s="2"/>
      <c r="C11" s="2"/>
      <c r="D11" s="2"/>
      <c r="E11" s="2" t="s">
        <v>277</v>
      </c>
      <c r="F11" s="2"/>
      <c r="G11" s="2" t="s">
        <v>278</v>
      </c>
      <c r="H11" s="2"/>
      <c r="I11" s="8">
        <f>InputSummary!I218</f>
        <v>20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
      <c r="A12" s="2"/>
      <c r="B12" s="2"/>
      <c r="C12" s="2"/>
      <c r="D12" s="2"/>
      <c r="E12" s="2" t="s">
        <v>846</v>
      </c>
      <c r="F12" s="2"/>
      <c r="G12" s="2" t="s">
        <v>276</v>
      </c>
      <c r="H12" s="2"/>
      <c r="I12" s="8">
        <f>InputSummary!I221</f>
        <v>12</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1</v>
      </c>
      <c r="AB17" s="2" t="b">
        <f t="shared" si="0"/>
        <v>1</v>
      </c>
      <c r="AC17" s="2" t="b">
        <f t="shared" si="0"/>
        <v>1</v>
      </c>
      <c r="AD17" s="2" t="b">
        <f t="shared" si="0"/>
        <v>1</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0</v>
      </c>
      <c r="AB18" s="2" t="b">
        <f t="shared" si="1"/>
        <v>0</v>
      </c>
      <c r="AC18" s="2" t="b">
        <f t="shared" si="1"/>
        <v>0</v>
      </c>
      <c r="AD18" s="2" t="b">
        <f t="shared" si="1"/>
        <v>0</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
      <c r="A24" s="2"/>
      <c r="B24" s="2"/>
      <c r="C24" s="2"/>
      <c r="D24" s="2"/>
      <c r="E24" s="56" t="s">
        <v>853</v>
      </c>
      <c r="F24" s="7"/>
      <c r="G24" s="2" t="s">
        <v>101</v>
      </c>
      <c r="H24" s="7"/>
      <c r="I24" s="7"/>
      <c r="J24" s="2"/>
      <c r="K24" s="8">
        <f>InputSummary!K229 + InputSummary!K231</f>
        <v>141.70383586083852</v>
      </c>
      <c r="L24" s="8">
        <f>InputSummary!L229 + InputSummary!L231</f>
        <v>119.1053156320512</v>
      </c>
      <c r="M24" s="8">
        <f>InputSummary!M229 + InputSummary!M231</f>
        <v>114.84493886760769</v>
      </c>
      <c r="N24" s="8">
        <f>InputSummary!N229 + InputSummary!N231</f>
        <v>121.88382221755786</v>
      </c>
      <c r="O24" s="8">
        <f>InputSummary!O229 + InputSummary!O231</f>
        <v>110.02886078606286</v>
      </c>
      <c r="P24" s="8">
        <f>InputSummary!P229 + InputSummary!P231</f>
        <v>117.06774413601302</v>
      </c>
      <c r="Q24" s="8">
        <f>InputSummary!Q229 + InputSummary!Q231</f>
        <v>90.764548459883514</v>
      </c>
      <c r="R24" s="8">
        <f>InputSummary!R229 + InputSummary!R231</f>
        <v>100.39670462297319</v>
      </c>
      <c r="S24" s="8">
        <f>InputSummary!S229 + InputSummary!S231</f>
        <v>111.19383237494276</v>
      </c>
      <c r="T24" s="8">
        <f>InputSummary!T229 + InputSummary!T231</f>
        <v>103.09538122432622</v>
      </c>
      <c r="U24" s="8">
        <f>InputSummary!U229 + InputSummary!U231</f>
        <v>109.03541200505889</v>
      </c>
      <c r="V24" s="8">
        <f>InputSummary!V229 + InputSummary!V231</f>
        <v>141.77522166307213</v>
      </c>
      <c r="W24" s="8">
        <f>InputSummary!W229 + InputSummary!W231</f>
        <v>131.24376820248207</v>
      </c>
      <c r="X24" s="8">
        <f>InputSummary!X229 + InputSummary!X231</f>
        <v>131.38557793305023</v>
      </c>
      <c r="Y24" s="8">
        <f>InputSummary!Y229 + InputSummary!Y231</f>
        <v>116.38578715518474</v>
      </c>
      <c r="Z24" s="8">
        <f>InputSummary!Z229 + InputSummary!Z231</f>
        <v>118.21000616407133</v>
      </c>
      <c r="AA24" s="8">
        <f>InputSummary!AA229 + InputSummary!AA231</f>
        <v>133.78107433545651</v>
      </c>
      <c r="AB24" s="8">
        <f>InputSummary!AB229 + InputSummary!AB231</f>
        <v>144.83278417437833</v>
      </c>
      <c r="AC24" s="8">
        <f>InputSummary!AC229 + InputSummary!AC231</f>
        <v>142.02723675021343</v>
      </c>
      <c r="AD24" s="8">
        <f>InputSummary!AD229 + InputSummary!AD231</f>
        <v>117.78128364610983</v>
      </c>
      <c r="AE24" s="8">
        <f>InputSummary!AE229 + InputSummary!AE231</f>
        <v>146.45264432823487</v>
      </c>
      <c r="AF24" s="8">
        <f>InputSummary!AF229 + InputSummary!AF231</f>
        <v>160.98914503286744</v>
      </c>
      <c r="AG24" s="8">
        <f>InputSummary!AG229 + InputSummary!AG231</f>
        <v>155.78448247749279</v>
      </c>
      <c r="AH24" s="8">
        <f>InputSummary!AH229 + InputSummary!AH231</f>
        <v>181.16126867767576</v>
      </c>
      <c r="AI24" s="8">
        <f>InputSummary!AI229 + InputSummary!AI231</f>
        <v>189.34499297544724</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186.92546132708756</v>
      </c>
      <c r="AK25" s="8">
        <f>InputSummary!AK235</f>
        <v>192.69036110532994</v>
      </c>
      <c r="AL25" s="8">
        <f>InputSummary!AL235</f>
        <v>196.70986554285136</v>
      </c>
      <c r="AM25" s="8">
        <f>InputSummary!AM235</f>
        <v>200.52551994509659</v>
      </c>
      <c r="AN25" s="8">
        <f>InputSummary!AN235</f>
        <v>193.19467847520997</v>
      </c>
      <c r="AO25" s="8">
        <f>InputSummary!AO235</f>
        <v>186.49410307673955</v>
      </c>
      <c r="AP25" s="8">
        <f>InputSummary!AP235</f>
        <v>177.03545799093234</v>
      </c>
      <c r="AQ25" s="9">
        <f>InputSummary!AQ235</f>
        <v>178.41711679190453</v>
      </c>
      <c r="AR25" s="8">
        <f>InputSummary!AR235</f>
        <v>0</v>
      </c>
      <c r="AS25" s="8">
        <f>InputSummary!AS235</f>
        <v>0</v>
      </c>
      <c r="AT25" s="8">
        <f>InputSummary!AT235</f>
        <v>0</v>
      </c>
      <c r="AU25" s="8">
        <f>InputSummary!AU235</f>
        <v>0</v>
      </c>
      <c r="AV25" s="8">
        <f>InputSummary!AV235</f>
        <v>0</v>
      </c>
      <c r="AW25" s="2"/>
    </row>
    <row r="26" spans="1:49" ht="16">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202.0641926477104</v>
      </c>
      <c r="AS26" s="8">
        <f>TIM!AS68*AS16</f>
        <v>237.73665294461162</v>
      </c>
      <c r="AT26" s="8">
        <f>TIM!AT68*AT16</f>
        <v>260.68004911905837</v>
      </c>
      <c r="AU26" s="8">
        <f>TIM!AU68*AU16</f>
        <v>268.70364706268117</v>
      </c>
      <c r="AV26" s="8">
        <f>TIM!AV68*AV16</f>
        <v>273.6892286575378</v>
      </c>
      <c r="AW26" s="2"/>
    </row>
    <row r="27" spans="1:49" ht="16">
      <c r="A27" s="2"/>
      <c r="B27" s="2"/>
      <c r="C27" s="2"/>
      <c r="D27" s="2"/>
      <c r="E27" s="56" t="s">
        <v>856</v>
      </c>
      <c r="F27" s="7"/>
      <c r="G27" s="2" t="s">
        <v>101</v>
      </c>
      <c r="H27" s="7"/>
      <c r="I27" s="7"/>
      <c r="J27" s="2"/>
      <c r="K27" s="432">
        <f t="shared" ref="K27:L27" si="2">SUM(K24:K26)</f>
        <v>141.70383586083852</v>
      </c>
      <c r="L27" s="432">
        <f t="shared" si="2"/>
        <v>119.1053156320512</v>
      </c>
      <c r="M27" s="432">
        <f t="shared" ref="M27" si="3">SUM(M24:M26)</f>
        <v>114.84493886760769</v>
      </c>
      <c r="N27" s="432">
        <f t="shared" ref="N27" si="4">SUM(N24:N26)</f>
        <v>121.88382221755786</v>
      </c>
      <c r="O27" s="432">
        <f t="shared" ref="O27" si="5">SUM(O24:O26)</f>
        <v>110.02886078606286</v>
      </c>
      <c r="P27" s="432">
        <f t="shared" ref="P27" si="6">SUM(P24:P26)</f>
        <v>117.06774413601302</v>
      </c>
      <c r="Q27" s="432">
        <f t="shared" ref="Q27" si="7">SUM(Q24:Q26)</f>
        <v>90.764548459883514</v>
      </c>
      <c r="R27" s="432">
        <f t="shared" ref="R27" si="8">SUM(R24:R26)</f>
        <v>100.39670462297319</v>
      </c>
      <c r="S27" s="432">
        <f t="shared" ref="S27" si="9">SUM(S24:S26)</f>
        <v>111.19383237494276</v>
      </c>
      <c r="T27" s="432">
        <f t="shared" ref="T27" si="10">SUM(T24:T26)</f>
        <v>103.09538122432622</v>
      </c>
      <c r="U27" s="432">
        <f t="shared" ref="U27" si="11">SUM(U24:U26)</f>
        <v>109.03541200505889</v>
      </c>
      <c r="V27" s="432">
        <f t="shared" ref="V27" si="12">SUM(V24:V26)</f>
        <v>141.77522166307213</v>
      </c>
      <c r="W27" s="432">
        <f t="shared" ref="W27" si="13">SUM(W24:W26)</f>
        <v>131.24376820248207</v>
      </c>
      <c r="X27" s="432">
        <f t="shared" ref="X27" si="14">SUM(X24:X26)</f>
        <v>131.38557793305023</v>
      </c>
      <c r="Y27" s="432">
        <f t="shared" ref="Y27" si="15">SUM(Y24:Y26)</f>
        <v>116.38578715518474</v>
      </c>
      <c r="Z27" s="432">
        <f t="shared" ref="Z27" si="16">SUM(Z24:Z26)</f>
        <v>118.21000616407133</v>
      </c>
      <c r="AA27" s="432">
        <f t="shared" ref="AA27" si="17">SUM(AA24:AA26)</f>
        <v>133.78107433545651</v>
      </c>
      <c r="AB27" s="432">
        <f t="shared" ref="AB27" si="18">SUM(AB24:AB26)</f>
        <v>144.83278417437833</v>
      </c>
      <c r="AC27" s="432">
        <f t="shared" ref="AC27" si="19">SUM(AC24:AC26)</f>
        <v>142.02723675021343</v>
      </c>
      <c r="AD27" s="432">
        <f t="shared" ref="AD27" si="20">SUM(AD24:AD26)</f>
        <v>117.78128364610983</v>
      </c>
      <c r="AE27" s="432">
        <f t="shared" ref="AE27" si="21">SUM(AE24:AE26)</f>
        <v>146.45264432823487</v>
      </c>
      <c r="AF27" s="432">
        <f t="shared" ref="AF27" si="22">SUM(AF24:AF26)</f>
        <v>160.98914503286744</v>
      </c>
      <c r="AG27" s="432">
        <f t="shared" ref="AG27" si="23">SUM(AG24:AG26)</f>
        <v>155.78448247749279</v>
      </c>
      <c r="AH27" s="432">
        <f t="shared" ref="AH27" si="24">SUM(AH24:AH26)</f>
        <v>181.16126867767576</v>
      </c>
      <c r="AI27" s="432">
        <f t="shared" ref="AI27" si="25">SUM(AI24:AI26)</f>
        <v>189.34499297544724</v>
      </c>
      <c r="AJ27" s="432">
        <f>SUM(AJ24:AJ26)</f>
        <v>186.92546132708756</v>
      </c>
      <c r="AK27" s="432">
        <f t="shared" ref="AK27" si="26">SUM(AK24:AK26)</f>
        <v>192.69036110532994</v>
      </c>
      <c r="AL27" s="432">
        <f t="shared" ref="AL27" si="27">SUM(AL24:AL26)</f>
        <v>196.70986554285136</v>
      </c>
      <c r="AM27" s="432">
        <f t="shared" ref="AM27" si="28">SUM(AM24:AM26)</f>
        <v>200.52551994509659</v>
      </c>
      <c r="AN27" s="432">
        <f t="shared" ref="AN27" si="29">SUM(AN24:AN26)</f>
        <v>193.19467847520997</v>
      </c>
      <c r="AO27" s="432">
        <f t="shared" ref="AO27" si="30">SUM(AO24:AO26)</f>
        <v>186.49410307673955</v>
      </c>
      <c r="AP27" s="432">
        <f t="shared" ref="AP27" si="31">SUM(AP24:AP26)</f>
        <v>177.03545799093234</v>
      </c>
      <c r="AQ27" s="533">
        <f t="shared" ref="AQ27" si="32">SUM(AQ24:AQ26)</f>
        <v>178.41711679190453</v>
      </c>
      <c r="AR27" s="432">
        <f t="shared" ref="AR27" si="33">SUM(AR24:AR26)</f>
        <v>202.0641926477104</v>
      </c>
      <c r="AS27" s="432">
        <f t="shared" ref="AS27" si="34">SUM(AS24:AS26)</f>
        <v>237.73665294461162</v>
      </c>
      <c r="AT27" s="432">
        <f t="shared" ref="AT27:AV27" si="35">SUM(AT24:AT26)</f>
        <v>260.68004911905837</v>
      </c>
      <c r="AU27" s="432">
        <f t="shared" si="35"/>
        <v>268.70364706268117</v>
      </c>
      <c r="AV27" s="432">
        <f t="shared" si="35"/>
        <v>273.6892286575378</v>
      </c>
      <c r="AW27" s="2"/>
    </row>
    <row r="28" spans="1:49" ht="16">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
      <c r="A29" s="2"/>
      <c r="B29" s="2"/>
      <c r="C29" s="2"/>
      <c r="D29" s="2"/>
      <c r="E29" s="56" t="s">
        <v>857</v>
      </c>
      <c r="F29" s="7"/>
      <c r="G29" s="2" t="s">
        <v>101</v>
      </c>
      <c r="H29" s="7"/>
      <c r="I29" s="7"/>
      <c r="J29" s="2"/>
      <c r="K29" s="2">
        <f t="shared" ref="K29:AV29" si="36">K59</f>
        <v>0</v>
      </c>
      <c r="L29" s="2">
        <f t="shared" si="36"/>
        <v>3.7290483121273295</v>
      </c>
      <c r="M29" s="2">
        <f t="shared" si="36"/>
        <v>6.8633987234970979</v>
      </c>
      <c r="N29" s="2">
        <f t="shared" si="36"/>
        <v>9.8856339568551945</v>
      </c>
      <c r="O29" s="2">
        <f t="shared" si="36"/>
        <v>13.093102962580401</v>
      </c>
      <c r="P29" s="2">
        <f t="shared" si="36"/>
        <v>15.988599299055739</v>
      </c>
      <c r="Q29" s="2">
        <f t="shared" si="36"/>
        <v>19.069329407898188</v>
      </c>
      <c r="R29" s="2">
        <f t="shared" si="36"/>
        <v>21.457870156842489</v>
      </c>
      <c r="S29" s="2">
        <f t="shared" si="36"/>
        <v>24.099888699552309</v>
      </c>
      <c r="T29" s="2">
        <f t="shared" si="36"/>
        <v>27.026042183103435</v>
      </c>
      <c r="U29" s="2">
        <f t="shared" si="36"/>
        <v>29.739078531112021</v>
      </c>
      <c r="V29" s="2">
        <f t="shared" si="36"/>
        <v>32.608431478613568</v>
      </c>
      <c r="W29" s="2">
        <f t="shared" si="36"/>
        <v>36.339358364483886</v>
      </c>
      <c r="X29" s="2">
        <f t="shared" si="36"/>
        <v>39.793141738233416</v>
      </c>
      <c r="Y29" s="2">
        <f t="shared" si="36"/>
        <v>43.250656946997893</v>
      </c>
      <c r="Z29" s="2">
        <f t="shared" si="36"/>
        <v>46.313440819502752</v>
      </c>
      <c r="AA29" s="2">
        <f t="shared" si="36"/>
        <v>49.424230455399368</v>
      </c>
      <c r="AB29" s="2">
        <f t="shared" si="36"/>
        <v>52.944785043174541</v>
      </c>
      <c r="AC29" s="2">
        <f t="shared" si="36"/>
        <v>56.756174100395022</v>
      </c>
      <c r="AD29" s="2">
        <f t="shared" si="36"/>
        <v>60.493732962242746</v>
      </c>
      <c r="AE29" s="2">
        <f t="shared" si="36"/>
        <v>156.15971345906675</v>
      </c>
      <c r="AF29" s="2">
        <f t="shared" si="36"/>
        <v>156.39715388243653</v>
      </c>
      <c r="AG29" s="2">
        <f t="shared" si="36"/>
        <v>158.4913453524774</v>
      </c>
      <c r="AH29" s="2">
        <f t="shared" si="36"/>
        <v>160.5383225329717</v>
      </c>
      <c r="AI29" s="2">
        <f>AI59</f>
        <v>163.50219485597759</v>
      </c>
      <c r="AJ29" s="2">
        <f t="shared" si="36"/>
        <v>167.4680014654468</v>
      </c>
      <c r="AK29" s="2">
        <f t="shared" si="36"/>
        <v>161.61461425864618</v>
      </c>
      <c r="AL29" s="2">
        <f t="shared" si="36"/>
        <v>157.07638683565193</v>
      </c>
      <c r="AM29" s="2">
        <f t="shared" si="36"/>
        <v>152.05655160450328</v>
      </c>
      <c r="AN29" s="2">
        <f t="shared" si="36"/>
        <v>146.49685998575612</v>
      </c>
      <c r="AO29" s="2">
        <f t="shared" si="36"/>
        <v>141.34209092453983</v>
      </c>
      <c r="AP29" s="2">
        <f t="shared" si="36"/>
        <v>135.89032032428693</v>
      </c>
      <c r="AQ29" s="57">
        <f>AQ59</f>
        <v>128.80155924113328</v>
      </c>
      <c r="AR29" s="2">
        <f>AR59</f>
        <v>122.23937083100918</v>
      </c>
      <c r="AS29" s="2">
        <f t="shared" si="36"/>
        <v>115.67009193435675</v>
      </c>
      <c r="AT29" s="2">
        <f t="shared" si="36"/>
        <v>74.518245928097429</v>
      </c>
      <c r="AU29" s="2">
        <f t="shared" si="36"/>
        <v>68.607745619893763</v>
      </c>
      <c r="AV29" s="2">
        <f t="shared" si="36"/>
        <v>61.918691903120958</v>
      </c>
      <c r="AW29" s="2"/>
    </row>
    <row r="30" spans="1:49" ht="16">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8.0832631925227059</v>
      </c>
      <c r="AL30" s="2">
        <f t="shared" si="38"/>
        <v>15.423848377487657</v>
      </c>
      <c r="AM30" s="2">
        <f t="shared" si="38"/>
        <v>22.120354438520895</v>
      </c>
      <c r="AN30" s="2">
        <f t="shared" si="38"/>
        <v>28.290370436831559</v>
      </c>
      <c r="AO30" s="2">
        <f t="shared" si="38"/>
        <v>33.713378955433946</v>
      </c>
      <c r="AP30" s="2">
        <f t="shared" si="38"/>
        <v>38.526130002575613</v>
      </c>
      <c r="AQ30" s="57">
        <f t="shared" si="38"/>
        <v>42.753842432209815</v>
      </c>
      <c r="AR30" s="2">
        <f t="shared" si="38"/>
        <v>46.718667249807694</v>
      </c>
      <c r="AS30" s="2">
        <f t="shared" si="38"/>
        <v>46.718667249807694</v>
      </c>
      <c r="AT30" s="2">
        <f t="shared" si="38"/>
        <v>46.718667249807694</v>
      </c>
      <c r="AU30" s="2">
        <f t="shared" si="38"/>
        <v>46.718667249807694</v>
      </c>
      <c r="AV30" s="2">
        <f t="shared" si="38"/>
        <v>46.718667249807694</v>
      </c>
      <c r="AW30" s="2"/>
    </row>
    <row r="31" spans="1:49" ht="16">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4.4903153921713423</v>
      </c>
      <c r="AT31" s="2">
        <f t="shared" si="40"/>
        <v>9.7733521242738242</v>
      </c>
      <c r="AU31" s="2">
        <f t="shared" si="40"/>
        <v>15.566242104697345</v>
      </c>
      <c r="AV31" s="2">
        <f t="shared" si="40"/>
        <v>21.537434261645814</v>
      </c>
      <c r="AW31" s="2"/>
    </row>
    <row r="32" spans="1:49" ht="16">
      <c r="A32" s="2"/>
      <c r="B32" s="2"/>
      <c r="C32" s="2"/>
      <c r="D32" s="2"/>
      <c r="E32" s="56" t="s">
        <v>860</v>
      </c>
      <c r="F32" s="7"/>
      <c r="G32" s="2" t="s">
        <v>101</v>
      </c>
      <c r="H32" s="7"/>
      <c r="I32" s="7"/>
      <c r="J32" s="2"/>
      <c r="K32" s="464">
        <f t="shared" ref="K32:AV32" si="41">SUM(K29:K31)</f>
        <v>0</v>
      </c>
      <c r="L32" s="464">
        <f t="shared" si="41"/>
        <v>3.7290483121273295</v>
      </c>
      <c r="M32" s="464">
        <f t="shared" si="41"/>
        <v>6.8633987234970979</v>
      </c>
      <c r="N32" s="464">
        <f t="shared" si="41"/>
        <v>9.8856339568551945</v>
      </c>
      <c r="O32" s="464">
        <f t="shared" si="41"/>
        <v>13.093102962580401</v>
      </c>
      <c r="P32" s="464">
        <f t="shared" si="41"/>
        <v>15.988599299055739</v>
      </c>
      <c r="Q32" s="464">
        <f t="shared" si="41"/>
        <v>19.069329407898188</v>
      </c>
      <c r="R32" s="464">
        <f t="shared" si="41"/>
        <v>21.457870156842489</v>
      </c>
      <c r="S32" s="464">
        <f t="shared" si="41"/>
        <v>24.099888699552309</v>
      </c>
      <c r="T32" s="464">
        <f t="shared" si="41"/>
        <v>27.026042183103435</v>
      </c>
      <c r="U32" s="464">
        <f t="shared" si="41"/>
        <v>29.739078531112021</v>
      </c>
      <c r="V32" s="464">
        <f t="shared" si="41"/>
        <v>32.608431478613568</v>
      </c>
      <c r="W32" s="464">
        <f t="shared" si="41"/>
        <v>36.339358364483886</v>
      </c>
      <c r="X32" s="464">
        <f t="shared" si="41"/>
        <v>39.793141738233416</v>
      </c>
      <c r="Y32" s="464">
        <f t="shared" si="41"/>
        <v>43.250656946997893</v>
      </c>
      <c r="Z32" s="464">
        <f t="shared" si="41"/>
        <v>46.313440819502752</v>
      </c>
      <c r="AA32" s="464">
        <f t="shared" si="41"/>
        <v>49.424230455399368</v>
      </c>
      <c r="AB32" s="464">
        <f t="shared" si="41"/>
        <v>52.944785043174541</v>
      </c>
      <c r="AC32" s="464">
        <f t="shared" si="41"/>
        <v>56.756174100395022</v>
      </c>
      <c r="AD32" s="464">
        <f t="shared" si="41"/>
        <v>60.493732962242746</v>
      </c>
      <c r="AE32" s="464">
        <f t="shared" si="41"/>
        <v>156.15971345906675</v>
      </c>
      <c r="AF32" s="464">
        <f t="shared" si="41"/>
        <v>156.39715388243653</v>
      </c>
      <c r="AG32" s="464">
        <f t="shared" si="41"/>
        <v>158.4913453524774</v>
      </c>
      <c r="AH32" s="464">
        <f t="shared" si="41"/>
        <v>160.5383225329717</v>
      </c>
      <c r="AI32" s="464">
        <f t="shared" si="41"/>
        <v>163.50219485597759</v>
      </c>
      <c r="AJ32" s="464">
        <f t="shared" si="41"/>
        <v>167.4680014654468</v>
      </c>
      <c r="AK32" s="464">
        <f t="shared" si="41"/>
        <v>169.69787745116889</v>
      </c>
      <c r="AL32" s="464">
        <f t="shared" si="41"/>
        <v>172.50023521313958</v>
      </c>
      <c r="AM32" s="464">
        <f t="shared" si="41"/>
        <v>174.17690604302419</v>
      </c>
      <c r="AN32" s="464">
        <f t="shared" si="41"/>
        <v>174.78723042258767</v>
      </c>
      <c r="AO32" s="464">
        <f t="shared" si="41"/>
        <v>175.05546987997377</v>
      </c>
      <c r="AP32" s="464">
        <f t="shared" si="41"/>
        <v>174.41645032686256</v>
      </c>
      <c r="AQ32" s="382">
        <f t="shared" si="41"/>
        <v>171.55540167334308</v>
      </c>
      <c r="AR32" s="464">
        <f t="shared" si="41"/>
        <v>168.95803808081689</v>
      </c>
      <c r="AS32" s="464">
        <f t="shared" si="41"/>
        <v>166.87907457633577</v>
      </c>
      <c r="AT32" s="464">
        <f t="shared" si="41"/>
        <v>131.01026530217894</v>
      </c>
      <c r="AU32" s="464">
        <f t="shared" si="41"/>
        <v>130.89265497439879</v>
      </c>
      <c r="AV32" s="464">
        <f t="shared" si="41"/>
        <v>130.17479341457448</v>
      </c>
      <c r="AW32" s="2"/>
    </row>
    <row r="33" spans="1:49" ht="16">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3250.2756697030522</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1383.9646742245975</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3250.2756697030522</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1383.9646742245975</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 outlineLevel="1">
      <c r="B54" s="34"/>
      <c r="C54" s="34"/>
      <c r="D54" s="34"/>
      <c r="E54" s="34" t="s">
        <v>872</v>
      </c>
      <c r="F54" s="34"/>
      <c r="G54" s="2" t="s">
        <v>278</v>
      </c>
      <c r="H54" s="7"/>
      <c r="I54" s="46"/>
      <c r="J54" s="34"/>
      <c r="K54" s="81">
        <f>InputSummary!K226</f>
        <v>38</v>
      </c>
      <c r="L54" s="81">
        <f>InputSummary!L226</f>
        <v>38</v>
      </c>
      <c r="M54" s="81">
        <f>InputSummary!M226</f>
        <v>38</v>
      </c>
      <c r="N54" s="81">
        <f>InputSummary!N226</f>
        <v>38</v>
      </c>
      <c r="O54" s="81">
        <f>InputSummary!O226</f>
        <v>38</v>
      </c>
      <c r="P54" s="81">
        <f>InputSummary!P226</f>
        <v>38</v>
      </c>
      <c r="Q54" s="81">
        <f>InputSummary!Q226</f>
        <v>38</v>
      </c>
      <c r="R54" s="81">
        <f>InputSummary!R226</f>
        <v>38</v>
      </c>
      <c r="S54" s="81">
        <f>InputSummary!S226</f>
        <v>38</v>
      </c>
      <c r="T54" s="81">
        <f>InputSummary!T226</f>
        <v>38</v>
      </c>
      <c r="U54" s="81">
        <f>InputSummary!U226</f>
        <v>38</v>
      </c>
      <c r="V54" s="81">
        <f>InputSummary!V226</f>
        <v>38</v>
      </c>
      <c r="W54" s="81">
        <f>InputSummary!W226</f>
        <v>38</v>
      </c>
      <c r="X54" s="81">
        <f>InputSummary!X226</f>
        <v>38</v>
      </c>
      <c r="Y54" s="81">
        <f>InputSummary!Y226</f>
        <v>38</v>
      </c>
      <c r="Z54" s="81">
        <f>InputSummary!Z226</f>
        <v>38</v>
      </c>
      <c r="AA54" s="81">
        <f>InputSummary!AA226</f>
        <v>38</v>
      </c>
      <c r="AB54" s="81">
        <f>InputSummary!AB226</f>
        <v>38</v>
      </c>
      <c r="AC54" s="81">
        <f>InputSummary!AC226</f>
        <v>38</v>
      </c>
      <c r="AD54" s="81">
        <f>InputSummary!AD226</f>
        <v>38</v>
      </c>
      <c r="AE54" s="81">
        <f>InputSummary!AE226</f>
        <v>38</v>
      </c>
      <c r="AF54" s="81">
        <f>InputSummary!AF226</f>
        <v>38</v>
      </c>
      <c r="AG54" s="81">
        <f>InputSummary!AG226</f>
        <v>38</v>
      </c>
      <c r="AH54" s="81">
        <f>InputSummary!AH226</f>
        <v>38</v>
      </c>
      <c r="AI54" s="81">
        <f>InputSummary!AI226</f>
        <v>38</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 outlineLevel="1">
      <c r="B55" s="34"/>
      <c r="C55" s="34"/>
      <c r="D55" s="34"/>
      <c r="E55" s="34" t="s">
        <v>873</v>
      </c>
      <c r="F55" s="34"/>
      <c r="G55" s="7" t="s">
        <v>206</v>
      </c>
      <c r="H55" s="7"/>
      <c r="I55" s="46"/>
      <c r="J55" s="34"/>
      <c r="K55" s="142">
        <f>1/K54</f>
        <v>2.6315789473684209E-2</v>
      </c>
      <c r="L55" s="142">
        <f t="shared" ref="L55:AV55" si="57">1/L54</f>
        <v>2.6315789473684209E-2</v>
      </c>
      <c r="M55" s="142">
        <f t="shared" si="57"/>
        <v>2.6315789473684209E-2</v>
      </c>
      <c r="N55" s="142">
        <f t="shared" si="57"/>
        <v>2.6315789473684209E-2</v>
      </c>
      <c r="O55" s="142">
        <f t="shared" si="57"/>
        <v>2.6315789473684209E-2</v>
      </c>
      <c r="P55" s="142">
        <f t="shared" si="57"/>
        <v>2.6315789473684209E-2</v>
      </c>
      <c r="Q55" s="142">
        <f t="shared" si="57"/>
        <v>2.6315789473684209E-2</v>
      </c>
      <c r="R55" s="142">
        <f t="shared" si="57"/>
        <v>2.6315789473684209E-2</v>
      </c>
      <c r="S55" s="142">
        <f t="shared" si="57"/>
        <v>2.6315789473684209E-2</v>
      </c>
      <c r="T55" s="142">
        <f t="shared" si="57"/>
        <v>2.6315789473684209E-2</v>
      </c>
      <c r="U55" s="142">
        <f t="shared" si="57"/>
        <v>2.6315789473684209E-2</v>
      </c>
      <c r="V55" s="142">
        <f t="shared" si="57"/>
        <v>2.6315789473684209E-2</v>
      </c>
      <c r="W55" s="142">
        <f t="shared" si="57"/>
        <v>2.6315789473684209E-2</v>
      </c>
      <c r="X55" s="142">
        <f t="shared" si="57"/>
        <v>2.6315789473684209E-2</v>
      </c>
      <c r="Y55" s="142">
        <f t="shared" si="57"/>
        <v>2.6315789473684209E-2</v>
      </c>
      <c r="Z55" s="142">
        <f t="shared" si="57"/>
        <v>2.6315789473684209E-2</v>
      </c>
      <c r="AA55" s="142">
        <f t="shared" si="57"/>
        <v>2.6315789473684209E-2</v>
      </c>
      <c r="AB55" s="142">
        <f t="shared" si="57"/>
        <v>2.6315789473684209E-2</v>
      </c>
      <c r="AC55" s="142">
        <f t="shared" si="57"/>
        <v>2.6315789473684209E-2</v>
      </c>
      <c r="AD55" s="142">
        <f t="shared" si="57"/>
        <v>2.6315789473684209E-2</v>
      </c>
      <c r="AE55" s="142">
        <f t="shared" si="57"/>
        <v>2.6315789473684209E-2</v>
      </c>
      <c r="AF55" s="142">
        <f t="shared" si="57"/>
        <v>2.6315789473684209E-2</v>
      </c>
      <c r="AG55" s="142">
        <f t="shared" si="57"/>
        <v>2.6315789473684209E-2</v>
      </c>
      <c r="AH55" s="142">
        <f t="shared" si="57"/>
        <v>2.6315789473684209E-2</v>
      </c>
      <c r="AI55" s="142">
        <f t="shared" si="57"/>
        <v>2.6315789473684209E-2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
      <c r="B59" s="34"/>
      <c r="C59" s="34"/>
      <c r="D59" s="34"/>
      <c r="E59" s="34" t="s">
        <v>875</v>
      </c>
      <c r="F59" s="34"/>
      <c r="G59" s="2" t="s">
        <v>101</v>
      </c>
      <c r="H59" s="7"/>
      <c r="I59" s="46"/>
      <c r="J59" s="34"/>
      <c r="K59" s="34">
        <f>K64 * SUM(K66:K103) + K108 * SUM(K110:K147) + SUM(K156:K193)</f>
        <v>0</v>
      </c>
      <c r="L59" s="34">
        <f t="shared" ref="L59:AV59" si="60">L64 * SUM(L66:L103) + L108 * SUM(L110:L147) + SUM(L156:L193)</f>
        <v>3.7290483121273295</v>
      </c>
      <c r="M59" s="34">
        <f t="shared" si="60"/>
        <v>6.8633987234970979</v>
      </c>
      <c r="N59" s="34">
        <f t="shared" si="60"/>
        <v>9.8856339568551945</v>
      </c>
      <c r="O59" s="34">
        <f t="shared" si="60"/>
        <v>13.093102962580401</v>
      </c>
      <c r="P59" s="34">
        <f>P64 * SUM(P66:P103) + P108 * SUM(P110:P147) + SUM(P156:P193)</f>
        <v>15.988599299055739</v>
      </c>
      <c r="Q59" s="34">
        <f t="shared" si="60"/>
        <v>19.069329407898188</v>
      </c>
      <c r="R59" s="34">
        <f t="shared" si="60"/>
        <v>21.457870156842489</v>
      </c>
      <c r="S59" s="34">
        <f t="shared" si="60"/>
        <v>24.099888699552309</v>
      </c>
      <c r="T59" s="34">
        <f t="shared" si="60"/>
        <v>27.026042183103435</v>
      </c>
      <c r="U59" s="34">
        <f t="shared" si="60"/>
        <v>29.739078531112021</v>
      </c>
      <c r="V59" s="34">
        <f t="shared" si="60"/>
        <v>32.608431478613568</v>
      </c>
      <c r="W59" s="34">
        <f t="shared" si="60"/>
        <v>36.339358364483886</v>
      </c>
      <c r="X59" s="34">
        <f t="shared" si="60"/>
        <v>39.793141738233416</v>
      </c>
      <c r="Y59" s="34">
        <f t="shared" si="60"/>
        <v>43.250656946997893</v>
      </c>
      <c r="Z59" s="34">
        <f t="shared" si="60"/>
        <v>46.313440819502752</v>
      </c>
      <c r="AA59" s="34">
        <f t="shared" si="60"/>
        <v>49.424230455399368</v>
      </c>
      <c r="AB59" s="34">
        <f t="shared" si="60"/>
        <v>52.944785043174541</v>
      </c>
      <c r="AC59" s="34">
        <f t="shared" si="60"/>
        <v>56.756174100395022</v>
      </c>
      <c r="AD59" s="34">
        <f t="shared" si="60"/>
        <v>60.493732962242746</v>
      </c>
      <c r="AE59" s="34">
        <f t="shared" si="60"/>
        <v>156.15971345906675</v>
      </c>
      <c r="AF59" s="34">
        <f t="shared" si="60"/>
        <v>156.39715388243653</v>
      </c>
      <c r="AG59" s="34">
        <f t="shared" si="60"/>
        <v>158.4913453524774</v>
      </c>
      <c r="AH59" s="34">
        <f t="shared" si="60"/>
        <v>160.5383225329717</v>
      </c>
      <c r="AI59" s="34">
        <f>AI64 * SUM(AI66:AI103) + AI108 * SUM(AI110:AI147) + SUM(AI156:AI193)</f>
        <v>163.50219485597759</v>
      </c>
      <c r="AJ59" s="34">
        <f t="shared" si="60"/>
        <v>167.4680014654468</v>
      </c>
      <c r="AK59" s="34">
        <f t="shared" si="60"/>
        <v>161.61461425864618</v>
      </c>
      <c r="AL59" s="34">
        <f t="shared" si="60"/>
        <v>157.07638683565193</v>
      </c>
      <c r="AM59" s="34">
        <f t="shared" si="60"/>
        <v>152.05655160450328</v>
      </c>
      <c r="AN59" s="34">
        <f t="shared" si="60"/>
        <v>146.49685998575612</v>
      </c>
      <c r="AO59" s="34">
        <f t="shared" si="60"/>
        <v>141.34209092453983</v>
      </c>
      <c r="AP59" s="34">
        <f t="shared" si="60"/>
        <v>135.89032032428693</v>
      </c>
      <c r="AQ59" s="36">
        <f t="shared" si="60"/>
        <v>128.80155924113328</v>
      </c>
      <c r="AR59" s="34">
        <f t="shared" si="60"/>
        <v>122.23937083100918</v>
      </c>
      <c r="AS59" s="34">
        <f t="shared" si="60"/>
        <v>115.67009193435675</v>
      </c>
      <c r="AT59" s="34">
        <f t="shared" si="60"/>
        <v>74.518245928097429</v>
      </c>
      <c r="AU59" s="34">
        <f t="shared" si="60"/>
        <v>68.607745619893763</v>
      </c>
      <c r="AV59" s="34">
        <f t="shared" si="60"/>
        <v>61.918691903120958</v>
      </c>
    </row>
    <row r="60" spans="1:49">
      <c r="AQ60" s="220"/>
    </row>
    <row r="61" spans="1:49" ht="16">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1</v>
      </c>
      <c r="AB64" s="2">
        <f t="shared" si="61"/>
        <v>1</v>
      </c>
      <c r="AC64" s="2">
        <f t="shared" si="61"/>
        <v>1</v>
      </c>
      <c r="AD64" s="2">
        <f t="shared" si="61"/>
        <v>1</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 outlineLevel="1">
      <c r="E66" s="44">
        <f>INDEX($K$4:$AV$4,,COUNT(E65:E$65)+1)</f>
        <v>33328</v>
      </c>
      <c r="G66" s="2" t="s">
        <v>101</v>
      </c>
      <c r="I66" s="2">
        <f t="shared" ref="I66:I103" si="62">INDEX($K$24:$AV$24,,MATCH(E66,$K$4:$AV$4,0))</f>
        <v>141.70383586083852</v>
      </c>
      <c r="K66" s="2">
        <f>IF(J$4=$E66, $I66*J$55,0) + IF(J$4&gt;$E66,MIN(J66,$I66-SUM($J66:J66)))</f>
        <v>0</v>
      </c>
      <c r="L66" s="2">
        <f>IF(K$4=$E66, $I66*K$55,0) + IF(K$4&gt;$E66,MIN(K66,$I66-SUM($J66:K66)))</f>
        <v>3.7290483121273295</v>
      </c>
      <c r="M66" s="2">
        <f>IF(L$4=$E66, $I66*L$55,0) + IF(L$4&gt;$E66,MIN(L66,$I66-SUM($J66:L66)))</f>
        <v>3.7290483121273295</v>
      </c>
      <c r="N66" s="2">
        <f>IF(M$4=$E66, $I66*M$55,0) + IF(M$4&gt;$E66,MIN(M66,$I66-SUM($J66:M66)))</f>
        <v>3.7290483121273295</v>
      </c>
      <c r="O66" s="2">
        <f>IF(N$4=$E66, $I66*N$55,0) + IF(N$4&gt;$E66,MIN(N66,$I66-SUM($J66:N66)))</f>
        <v>3.7290483121273295</v>
      </c>
      <c r="P66" s="2">
        <f>IF(O$4=$E66, $I66*O$55,0) + IF(O$4&gt;$E66,MIN(O66,$I66-SUM($J66:O66)))</f>
        <v>3.7290483121273295</v>
      </c>
      <c r="Q66" s="2">
        <f>IF(P$4=$E66, $I66*P$55,0) + IF(P$4&gt;$E66,MIN(P66,$I66-SUM($J66:P66)))</f>
        <v>3.7290483121273295</v>
      </c>
      <c r="R66" s="2">
        <f>IF(Q$4=$E66, $I66*Q$55,0) + IF(Q$4&gt;$E66,MIN(Q66,$I66-SUM($J66:Q66)))</f>
        <v>3.7290483121273295</v>
      </c>
      <c r="S66" s="2">
        <f>IF(R$4=$E66, $I66*R$55,0) + IF(R$4&gt;$E66,MIN(R66,$I66-SUM($J66:R66)))</f>
        <v>3.7290483121273295</v>
      </c>
      <c r="T66" s="2">
        <f>IF(S$4=$E66, $I66*S$55,0) + IF(S$4&gt;$E66,MIN(S66,$I66-SUM($J66:S66)))</f>
        <v>3.7290483121273295</v>
      </c>
      <c r="U66" s="2">
        <f>IF(T$4=$E66, $I66*T$55,0) + IF(T$4&gt;$E66,MIN(T66,$I66-SUM($J66:T66)))</f>
        <v>3.7290483121273295</v>
      </c>
      <c r="V66" s="2">
        <f>IF(U$4=$E66, $I66*U$55,0) + IF(U$4&gt;$E66,MIN(U66,$I66-SUM($J66:U66)))</f>
        <v>3.7290483121273295</v>
      </c>
      <c r="W66" s="2">
        <f>IF(V$4=$E66, $I66*V$55,0) + IF(V$4&gt;$E66,MIN(V66,$I66-SUM($J66:V66)))</f>
        <v>3.7290483121273295</v>
      </c>
      <c r="X66" s="2">
        <f>IF(W$4=$E66, $I66*W$55,0) + IF(W$4&gt;$E66,MIN(W66,$I66-SUM($J66:W66)))</f>
        <v>3.7290483121273295</v>
      </c>
      <c r="Y66" s="2">
        <f>IF(X$4=$E66, $I66*X$55,0) + IF(X$4&gt;$E66,MIN(X66,$I66-SUM($J66:X66)))</f>
        <v>3.7290483121273295</v>
      </c>
      <c r="Z66" s="2">
        <f>IF(Y$4=$E66, $I66*Y$55,0) + IF(Y$4&gt;$E66,MIN(Y66,$I66-SUM($J66:Y66)))</f>
        <v>3.7290483121273295</v>
      </c>
      <c r="AA66" s="2">
        <f>IF(Z$4=$E66, $I66*Z$55,0) + IF(Z$4&gt;$E66,MIN(Z66,$I66-SUM($J66:Z66)))</f>
        <v>3.7290483121273295</v>
      </c>
      <c r="AB66" s="2">
        <f>IF(AA$4=$E66, $I66*AA$55,0) + IF(AA$4&gt;$E66,MIN(AA66,$I66-SUM($J66:AA66)))</f>
        <v>3.7290483121273295</v>
      </c>
      <c r="AC66" s="2">
        <f>IF(AB$4=$E66, $I66*AB$55,0) + IF(AB$4&gt;$E66,MIN(AB66,$I66-SUM($J66:AB66)))</f>
        <v>3.7290483121273295</v>
      </c>
      <c r="AD66" s="2">
        <f>IF(AC$4=$E66, $I66*AC$55,0) + IF(AC$4&gt;$E66,MIN(AC66,$I66-SUM($J66:AC66)))</f>
        <v>3.7290483121273295</v>
      </c>
      <c r="AE66" s="2">
        <f>IF(AD$4=$E66, $I66*AD$55,0) + IF(AD$4&gt;$E66,MIN(AD66,$I66-SUM($J66:AD66)))</f>
        <v>3.7290483121273295</v>
      </c>
      <c r="AF66" s="2">
        <f>IF(AE$4=$E66, $I66*AE$55,0) + IF(AE$4&gt;$E66,MIN(AE66,$I66-SUM($J66:AE66)))</f>
        <v>3.7290483121273295</v>
      </c>
      <c r="AG66" s="2">
        <f>IF(AF$4=$E66, $I66*AF$55,0) + IF(AF$4&gt;$E66,MIN(AF66,$I66-SUM($J66:AF66)))</f>
        <v>3.7290483121273295</v>
      </c>
      <c r="AH66" s="2">
        <f>IF(AG$4=$E66, $I66*AG$55,0) + IF(AG$4&gt;$E66,MIN(AG66,$I66-SUM($J66:AG66)))</f>
        <v>3.7290483121273295</v>
      </c>
      <c r="AI66" s="2">
        <f>IF(AH$4=$E66, $I66*AH$55,0) + IF(AH$4&gt;$E66,MIN(AH66,$I66-SUM($J66:AH66)))</f>
        <v>3.7290483121273295</v>
      </c>
      <c r="AJ66" s="2">
        <f>IF(AI$4=$E66, $I66*AI$55,0) + IF(AI$4&gt;$E66,MIN(AI66,$I66-SUM($J66:AI66)))</f>
        <v>3.7290483121273295</v>
      </c>
      <c r="AK66" s="2">
        <f>IF(AJ$4=$E66, $I66*AJ$55,0) + IF(AJ$4&gt;$E66,MIN(AJ66,$I66-SUM($J66:AJ66)))</f>
        <v>3.7290483121273295</v>
      </c>
      <c r="AL66" s="2">
        <f>IF(AK$4=$E66, $I66*AK$55,0) + IF(AK$4&gt;$E66,MIN(AK66,$I66-SUM($J66:AK66)))</f>
        <v>3.7290483121273295</v>
      </c>
      <c r="AM66" s="2">
        <f>IF(AL$4=$E66, $I66*AL$55,0) + IF(AL$4&gt;$E66,MIN(AL66,$I66-SUM($J66:AL66)))</f>
        <v>3.7290483121273295</v>
      </c>
      <c r="AN66" s="2">
        <f>IF(AM$4=$E66, $I66*AM$55,0) + IF(AM$4&gt;$E66,MIN(AM66,$I66-SUM($J66:AM66)))</f>
        <v>3.7290483121273295</v>
      </c>
      <c r="AO66" s="2">
        <f>IF(AN$4=$E66, $I66*AN$55,0) + IF(AN$4&gt;$E66,MIN(AN66,$I66-SUM($J66:AN66)))</f>
        <v>3.7290483121273295</v>
      </c>
      <c r="AP66" s="2">
        <f>IF(AO$4=$E66, $I66*AO$55,0) + IF(AO$4&gt;$E66,MIN(AO66,$I66-SUM($J66:AO66)))</f>
        <v>3.7290483121273295</v>
      </c>
      <c r="AQ66" s="57">
        <f>IF(AP$4=$E66, $I66*AP$55,0) + IF(AP$4&gt;$E66,MIN(AP66,$I66-SUM($J66:AP66)))</f>
        <v>3.7290483121273295</v>
      </c>
      <c r="AR66" s="2">
        <f>IF(AQ$4=$E66, $I66*AQ$55,0) + IF(AQ$4&gt;$E66,MIN(AQ66,$I66-SUM($J66:AQ66)))</f>
        <v>3.7290483121273295</v>
      </c>
      <c r="AS66" s="2">
        <f>IF(AR$4=$E66, $I66*AR$55,0) + IF(AR$4&gt;$E66,MIN(AR66,$I66-SUM($J66:AR66)))</f>
        <v>3.7290483121273295</v>
      </c>
      <c r="AT66" s="2">
        <f>IF(AS$4=$E66, $I66*AS$55,0) + IF(AS$4&gt;$E66,MIN(AS66,$I66-SUM($J66:AS66)))</f>
        <v>3.7290483121273295</v>
      </c>
      <c r="AU66" s="2">
        <f>IF(AT$4=$E66, $I66*AT$55,0) + IF(AT$4&gt;$E66,MIN(AT66,$I66-SUM($J66:AT66)))</f>
        <v>3.7290483121273295</v>
      </c>
      <c r="AV66" s="2">
        <f>IF(AU$4=$E66, $I66*AU$55,0) + IF(AU$4&gt;$E66,MIN(AU66,$I66-SUM($J66:AU66)))</f>
        <v>3.7290483121273295</v>
      </c>
      <c r="AW66" s="2"/>
    </row>
    <row r="67" spans="5:49" ht="16" outlineLevel="1">
      <c r="E67" s="44">
        <f>INDEX($K$4:$AV$4,,COUNT(E$65:E66)+1)</f>
        <v>33694</v>
      </c>
      <c r="G67" s="2" t="s">
        <v>101</v>
      </c>
      <c r="I67" s="2">
        <f t="shared" si="62"/>
        <v>119.1053156320512</v>
      </c>
      <c r="K67" s="2">
        <f>IF(J$4=$E67, $I67*J$55,0) + IF(J$4&gt;$E67,MIN(J67,$I67-SUM($J67:J67)))</f>
        <v>0</v>
      </c>
      <c r="L67" s="2">
        <f>IF(K$4=$E67, $I67*K$55,0) + IF(K$4&gt;$E67,MIN(K67,$I67-SUM($J67:K67)))</f>
        <v>0</v>
      </c>
      <c r="M67" s="2">
        <f>IF(L$4=$E67, $I67*L$55,0) + IF(L$4&gt;$E67,MIN(L67,$I67-SUM($J67:L67)))</f>
        <v>3.1343504113697684</v>
      </c>
      <c r="N67" s="2">
        <f>IF(M$4=$E67, $I67*M$55,0) + IF(M$4&gt;$E67,MIN(M67,$I67-SUM($J67:M67)))</f>
        <v>3.1343504113697684</v>
      </c>
      <c r="O67" s="2">
        <f>IF(N$4=$E67, $I67*N$55,0) + IF(N$4&gt;$E67,MIN(N67,$I67-SUM($J67:N67)))</f>
        <v>3.1343504113697684</v>
      </c>
      <c r="P67" s="2">
        <f>IF(O$4=$E67, $I67*O$55,0) + IF(O$4&gt;$E67,MIN(O67,$I67-SUM($J67:O67)))</f>
        <v>3.1343504113697684</v>
      </c>
      <c r="Q67" s="2">
        <f>IF(P$4=$E67, $I67*P$55,0) + IF(P$4&gt;$E67,MIN(P67,$I67-SUM($J67:P67)))</f>
        <v>3.1343504113697684</v>
      </c>
      <c r="R67" s="2">
        <f>IF(Q$4=$E67, $I67*Q$55,0) + IF(Q$4&gt;$E67,MIN(Q67,$I67-SUM($J67:Q67)))</f>
        <v>3.1343504113697684</v>
      </c>
      <c r="S67" s="2">
        <f>IF(R$4=$E67, $I67*R$55,0) + IF(R$4&gt;$E67,MIN(R67,$I67-SUM($J67:R67)))</f>
        <v>3.1343504113697684</v>
      </c>
      <c r="T67" s="2">
        <f>IF(S$4=$E67, $I67*S$55,0) + IF(S$4&gt;$E67,MIN(S67,$I67-SUM($J67:S67)))</f>
        <v>3.1343504113697684</v>
      </c>
      <c r="U67" s="2">
        <f>IF(T$4=$E67, $I67*T$55,0) + IF(T$4&gt;$E67,MIN(T67,$I67-SUM($J67:T67)))</f>
        <v>3.1343504113697684</v>
      </c>
      <c r="V67" s="2">
        <f>IF(U$4=$E67, $I67*U$55,0) + IF(U$4&gt;$E67,MIN(U67,$I67-SUM($J67:U67)))</f>
        <v>3.1343504113697684</v>
      </c>
      <c r="W67" s="2">
        <f>IF(V$4=$E67, $I67*V$55,0) + IF(V$4&gt;$E67,MIN(V67,$I67-SUM($J67:V67)))</f>
        <v>3.1343504113697684</v>
      </c>
      <c r="X67" s="2">
        <f>IF(W$4=$E67, $I67*W$55,0) + IF(W$4&gt;$E67,MIN(W67,$I67-SUM($J67:W67)))</f>
        <v>3.1343504113697684</v>
      </c>
      <c r="Y67" s="2">
        <f>IF(X$4=$E67, $I67*X$55,0) + IF(X$4&gt;$E67,MIN(X67,$I67-SUM($J67:X67)))</f>
        <v>3.1343504113697684</v>
      </c>
      <c r="Z67" s="2">
        <f>IF(Y$4=$E67, $I67*Y$55,0) + IF(Y$4&gt;$E67,MIN(Y67,$I67-SUM($J67:Y67)))</f>
        <v>3.1343504113697684</v>
      </c>
      <c r="AA67" s="2">
        <f>IF(Z$4=$E67, $I67*Z$55,0) + IF(Z$4&gt;$E67,MIN(Z67,$I67-SUM($J67:Z67)))</f>
        <v>3.1343504113697684</v>
      </c>
      <c r="AB67" s="2">
        <f>IF(AA$4=$E67, $I67*AA$55,0) + IF(AA$4&gt;$E67,MIN(AA67,$I67-SUM($J67:AA67)))</f>
        <v>3.1343504113697684</v>
      </c>
      <c r="AC67" s="2">
        <f>IF(AB$4=$E67, $I67*AB$55,0) + IF(AB$4&gt;$E67,MIN(AB67,$I67-SUM($J67:AB67)))</f>
        <v>3.1343504113697684</v>
      </c>
      <c r="AD67" s="2">
        <f>IF(AC$4=$E67, $I67*AC$55,0) + IF(AC$4&gt;$E67,MIN(AC67,$I67-SUM($J67:AC67)))</f>
        <v>3.1343504113697684</v>
      </c>
      <c r="AE67" s="2">
        <f>IF(AD$4=$E67, $I67*AD$55,0) + IF(AD$4&gt;$E67,MIN(AD67,$I67-SUM($J67:AD67)))</f>
        <v>3.1343504113697684</v>
      </c>
      <c r="AF67" s="2">
        <f>IF(AE$4=$E67, $I67*AE$55,0) + IF(AE$4&gt;$E67,MIN(AE67,$I67-SUM($J67:AE67)))</f>
        <v>3.1343504113697684</v>
      </c>
      <c r="AG67" s="2">
        <f>IF(AF$4=$E67, $I67*AF$55,0) + IF(AF$4&gt;$E67,MIN(AF67,$I67-SUM($J67:AF67)))</f>
        <v>3.1343504113697684</v>
      </c>
      <c r="AH67" s="2">
        <f>IF(AG$4=$E67, $I67*AG$55,0) + IF(AG$4&gt;$E67,MIN(AG67,$I67-SUM($J67:AG67)))</f>
        <v>3.1343504113697684</v>
      </c>
      <c r="AI67" s="2">
        <f>IF(AH$4=$E67, $I67*AH$55,0) + IF(AH$4&gt;$E67,MIN(AH67,$I67-SUM($J67:AH67)))</f>
        <v>3.1343504113697684</v>
      </c>
      <c r="AJ67" s="2">
        <f>IF(AI$4=$E67, $I67*AI$55,0) + IF(AI$4&gt;$E67,MIN(AI67,$I67-SUM($J67:AI67)))</f>
        <v>3.1343504113697684</v>
      </c>
      <c r="AK67" s="2">
        <f>IF(AJ$4=$E67, $I67*AJ$55,0) + IF(AJ$4&gt;$E67,MIN(AJ67,$I67-SUM($J67:AJ67)))</f>
        <v>3.1343504113697684</v>
      </c>
      <c r="AL67" s="2">
        <f>IF(AK$4=$E67, $I67*AK$55,0) + IF(AK$4&gt;$E67,MIN(AK67,$I67-SUM($J67:AK67)))</f>
        <v>3.1343504113697684</v>
      </c>
      <c r="AM67" s="2">
        <f>IF(AL$4=$E67, $I67*AL$55,0) + IF(AL$4&gt;$E67,MIN(AL67,$I67-SUM($J67:AL67)))</f>
        <v>3.1343504113697684</v>
      </c>
      <c r="AN67" s="2">
        <f>IF(AM$4=$E67, $I67*AM$55,0) + IF(AM$4&gt;$E67,MIN(AM67,$I67-SUM($J67:AM67)))</f>
        <v>3.1343504113697684</v>
      </c>
      <c r="AO67" s="2">
        <f>IF(AN$4=$E67, $I67*AN$55,0) + IF(AN$4&gt;$E67,MIN(AN67,$I67-SUM($J67:AN67)))</f>
        <v>3.1343504113697684</v>
      </c>
      <c r="AP67" s="2">
        <f>IF(AO$4=$E67, $I67*AO$55,0) + IF(AO$4&gt;$E67,MIN(AO67,$I67-SUM($J67:AO67)))</f>
        <v>3.1343504113697684</v>
      </c>
      <c r="AQ67" s="57">
        <f>IF(AP$4=$E67, $I67*AP$55,0) + IF(AP$4&gt;$E67,MIN(AP67,$I67-SUM($J67:AP67)))</f>
        <v>3.1343504113697684</v>
      </c>
      <c r="AR67" s="2">
        <f>IF(AQ$4=$E67, $I67*AQ$55,0) + IF(AQ$4&gt;$E67,MIN(AQ67,$I67-SUM($J67:AQ67)))</f>
        <v>3.1343504113697684</v>
      </c>
      <c r="AS67" s="2">
        <f>IF(AR$4=$E67, $I67*AR$55,0) + IF(AR$4&gt;$E67,MIN(AR67,$I67-SUM($J67:AR67)))</f>
        <v>3.1343504113697684</v>
      </c>
      <c r="AT67" s="2">
        <f>IF(AS$4=$E67, $I67*AS$55,0) + IF(AS$4&gt;$E67,MIN(AS67,$I67-SUM($J67:AS67)))</f>
        <v>3.1343504113697684</v>
      </c>
      <c r="AU67" s="2">
        <f>IF(AT$4=$E67, $I67*AT$55,0) + IF(AT$4&gt;$E67,MIN(AT67,$I67-SUM($J67:AT67)))</f>
        <v>3.1343504113697684</v>
      </c>
      <c r="AV67" s="2">
        <f>IF(AU$4=$E67, $I67*AU$55,0) + IF(AU$4&gt;$E67,MIN(AU67,$I67-SUM($J67:AU67)))</f>
        <v>3.1343504113697684</v>
      </c>
      <c r="AW67" s="2"/>
    </row>
    <row r="68" spans="5:49" ht="16" outlineLevel="1">
      <c r="E68" s="44">
        <f>INDEX($K$4:$AV$4,,COUNT(E$65:E67)+1)</f>
        <v>34059</v>
      </c>
      <c r="G68" s="2" t="s">
        <v>101</v>
      </c>
      <c r="I68" s="2">
        <f t="shared" si="62"/>
        <v>114.84493886760769</v>
      </c>
      <c r="K68" s="2">
        <f>IF(J$4=$E68, $I68*J$55,0) + IF(J$4&gt;$E68,MIN(J68,$I68-SUM($J68:J68)))</f>
        <v>0</v>
      </c>
      <c r="L68" s="2">
        <f>IF(K$4=$E68, $I68*K$55,0) + IF(K$4&gt;$E68,MIN(K68,$I68-SUM($J68:K68)))</f>
        <v>0</v>
      </c>
      <c r="M68" s="2">
        <f>IF(L$4=$E68, $I68*L$55,0) + IF(L$4&gt;$E68,MIN(L68,$I68-SUM($J68:L68)))</f>
        <v>0</v>
      </c>
      <c r="N68" s="2">
        <f>IF(M$4=$E68, $I68*M$55,0) + IF(M$4&gt;$E68,MIN(M68,$I68-SUM($J68:M68)))</f>
        <v>3.0222352333580971</v>
      </c>
      <c r="O68" s="2">
        <f>IF(N$4=$E68, $I68*N$55,0) + IF(N$4&gt;$E68,MIN(N68,$I68-SUM($J68:N68)))</f>
        <v>3.0222352333580971</v>
      </c>
      <c r="P68" s="2">
        <f>IF(O$4=$E68, $I68*O$55,0) + IF(O$4&gt;$E68,MIN(O68,$I68-SUM($J68:O68)))</f>
        <v>3.0222352333580971</v>
      </c>
      <c r="Q68" s="2">
        <f>IF(P$4=$E68, $I68*P$55,0) + IF(P$4&gt;$E68,MIN(P68,$I68-SUM($J68:P68)))</f>
        <v>3.0222352333580971</v>
      </c>
      <c r="R68" s="2">
        <f>IF(Q$4=$E68, $I68*Q$55,0) + IF(Q$4&gt;$E68,MIN(Q68,$I68-SUM($J68:Q68)))</f>
        <v>3.0222352333580971</v>
      </c>
      <c r="S68" s="2">
        <f>IF(R$4=$E68, $I68*R$55,0) + IF(R$4&gt;$E68,MIN(R68,$I68-SUM($J68:R68)))</f>
        <v>3.0222352333580971</v>
      </c>
      <c r="T68" s="2">
        <f>IF(S$4=$E68, $I68*S$55,0) + IF(S$4&gt;$E68,MIN(S68,$I68-SUM($J68:S68)))</f>
        <v>3.0222352333580971</v>
      </c>
      <c r="U68" s="2">
        <f>IF(T$4=$E68, $I68*T$55,0) + IF(T$4&gt;$E68,MIN(T68,$I68-SUM($J68:T68)))</f>
        <v>3.0222352333580971</v>
      </c>
      <c r="V68" s="2">
        <f>IF(U$4=$E68, $I68*U$55,0) + IF(U$4&gt;$E68,MIN(U68,$I68-SUM($J68:U68)))</f>
        <v>3.0222352333580971</v>
      </c>
      <c r="W68" s="2">
        <f>IF(V$4=$E68, $I68*V$55,0) + IF(V$4&gt;$E68,MIN(V68,$I68-SUM($J68:V68)))</f>
        <v>3.0222352333580971</v>
      </c>
      <c r="X68" s="2">
        <f>IF(W$4=$E68, $I68*W$55,0) + IF(W$4&gt;$E68,MIN(W68,$I68-SUM($J68:W68)))</f>
        <v>3.0222352333580971</v>
      </c>
      <c r="Y68" s="2">
        <f>IF(X$4=$E68, $I68*X$55,0) + IF(X$4&gt;$E68,MIN(X68,$I68-SUM($J68:X68)))</f>
        <v>3.0222352333580971</v>
      </c>
      <c r="Z68" s="2">
        <f>IF(Y$4=$E68, $I68*Y$55,0) + IF(Y$4&gt;$E68,MIN(Y68,$I68-SUM($J68:Y68)))</f>
        <v>3.0222352333580971</v>
      </c>
      <c r="AA68" s="2">
        <f>IF(Z$4=$E68, $I68*Z$55,0) + IF(Z$4&gt;$E68,MIN(Z68,$I68-SUM($J68:Z68)))</f>
        <v>3.0222352333580971</v>
      </c>
      <c r="AB68" s="2">
        <f>IF(AA$4=$E68, $I68*AA$55,0) + IF(AA$4&gt;$E68,MIN(AA68,$I68-SUM($J68:AA68)))</f>
        <v>3.0222352333580971</v>
      </c>
      <c r="AC68" s="2">
        <f>IF(AB$4=$E68, $I68*AB$55,0) + IF(AB$4&gt;$E68,MIN(AB68,$I68-SUM($J68:AB68)))</f>
        <v>3.0222352333580971</v>
      </c>
      <c r="AD68" s="2">
        <f>IF(AC$4=$E68, $I68*AC$55,0) + IF(AC$4&gt;$E68,MIN(AC68,$I68-SUM($J68:AC68)))</f>
        <v>3.0222352333580971</v>
      </c>
      <c r="AE68" s="2">
        <f>IF(AD$4=$E68, $I68*AD$55,0) + IF(AD$4&gt;$E68,MIN(AD68,$I68-SUM($J68:AD68)))</f>
        <v>3.0222352333580971</v>
      </c>
      <c r="AF68" s="2">
        <f>IF(AE$4=$E68, $I68*AE$55,0) + IF(AE$4&gt;$E68,MIN(AE68,$I68-SUM($J68:AE68)))</f>
        <v>3.0222352333580971</v>
      </c>
      <c r="AG68" s="2">
        <f>IF(AF$4=$E68, $I68*AF$55,0) + IF(AF$4&gt;$E68,MIN(AF68,$I68-SUM($J68:AF68)))</f>
        <v>3.0222352333580971</v>
      </c>
      <c r="AH68" s="2">
        <f>IF(AG$4=$E68, $I68*AG$55,0) + IF(AG$4&gt;$E68,MIN(AG68,$I68-SUM($J68:AG68)))</f>
        <v>3.0222352333580971</v>
      </c>
      <c r="AI68" s="2">
        <f>IF(AH$4=$E68, $I68*AH$55,0) + IF(AH$4&gt;$E68,MIN(AH68,$I68-SUM($J68:AH68)))</f>
        <v>3.0222352333580971</v>
      </c>
      <c r="AJ68" s="2">
        <f>IF(AI$4=$E68, $I68*AI$55,0) + IF(AI$4&gt;$E68,MIN(AI68,$I68-SUM($J68:AI68)))</f>
        <v>3.0222352333580971</v>
      </c>
      <c r="AK68" s="2">
        <f>IF(AJ$4=$E68, $I68*AJ$55,0) + IF(AJ$4&gt;$E68,MIN(AJ68,$I68-SUM($J68:AJ68)))</f>
        <v>3.0222352333580971</v>
      </c>
      <c r="AL68" s="2">
        <f>IF(AK$4=$E68, $I68*AK$55,0) + IF(AK$4&gt;$E68,MIN(AK68,$I68-SUM($J68:AK68)))</f>
        <v>3.0222352333580971</v>
      </c>
      <c r="AM68" s="2">
        <f>IF(AL$4=$E68, $I68*AL$55,0) + IF(AL$4&gt;$E68,MIN(AL68,$I68-SUM($J68:AL68)))</f>
        <v>3.0222352333580971</v>
      </c>
      <c r="AN68" s="2">
        <f>IF(AM$4=$E68, $I68*AM$55,0) + IF(AM$4&gt;$E68,MIN(AM68,$I68-SUM($J68:AM68)))</f>
        <v>3.0222352333580971</v>
      </c>
      <c r="AO68" s="2">
        <f>IF(AN$4=$E68, $I68*AN$55,0) + IF(AN$4&gt;$E68,MIN(AN68,$I68-SUM($J68:AN68)))</f>
        <v>3.0222352333580971</v>
      </c>
      <c r="AP68" s="2">
        <f>IF(AO$4=$E68, $I68*AO$55,0) + IF(AO$4&gt;$E68,MIN(AO68,$I68-SUM($J68:AO68)))</f>
        <v>3.0222352333580971</v>
      </c>
      <c r="AQ68" s="57">
        <f>IF(AP$4=$E68, $I68*AP$55,0) + IF(AP$4&gt;$E68,MIN(AP68,$I68-SUM($J68:AP68)))</f>
        <v>3.0222352333580971</v>
      </c>
      <c r="AR68" s="2">
        <f>IF(AQ$4=$E68, $I68*AQ$55,0) + IF(AQ$4&gt;$E68,MIN(AQ68,$I68-SUM($J68:AQ68)))</f>
        <v>3.0222352333580971</v>
      </c>
      <c r="AS68" s="2">
        <f>IF(AR$4=$E68, $I68*AR$55,0) + IF(AR$4&gt;$E68,MIN(AR68,$I68-SUM($J68:AR68)))</f>
        <v>3.0222352333580971</v>
      </c>
      <c r="AT68" s="2">
        <f>IF(AS$4=$E68, $I68*AS$55,0) + IF(AS$4&gt;$E68,MIN(AS68,$I68-SUM($J68:AS68)))</f>
        <v>3.0222352333580971</v>
      </c>
      <c r="AU68" s="2">
        <f>IF(AT$4=$E68, $I68*AT$55,0) + IF(AT$4&gt;$E68,MIN(AT68,$I68-SUM($J68:AT68)))</f>
        <v>3.0222352333580971</v>
      </c>
      <c r="AV68" s="2">
        <f>IF(AU$4=$E68, $I68*AU$55,0) + IF(AU$4&gt;$E68,MIN(AU68,$I68-SUM($J68:AU68)))</f>
        <v>3.0222352333580971</v>
      </c>
      <c r="AW68" s="2"/>
    </row>
    <row r="69" spans="5:49" ht="16" outlineLevel="1">
      <c r="E69" s="44">
        <f>INDEX($K$4:$AV$4,,COUNT(E$65:E68)+1)</f>
        <v>34424</v>
      </c>
      <c r="G69" s="2" t="s">
        <v>101</v>
      </c>
      <c r="I69" s="2">
        <f t="shared" si="62"/>
        <v>121.88382221755786</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3.2074690057252067</v>
      </c>
      <c r="P69" s="2">
        <f>IF(O$4=$E69, $I69*O$55,0) + IF(O$4&gt;$E69,MIN(O69,$I69-SUM($J69:O69)))</f>
        <v>3.2074690057252067</v>
      </c>
      <c r="Q69" s="2">
        <f>IF(P$4=$E69, $I69*P$55,0) + IF(P$4&gt;$E69,MIN(P69,$I69-SUM($J69:P69)))</f>
        <v>3.2074690057252067</v>
      </c>
      <c r="R69" s="2">
        <f>IF(Q$4=$E69, $I69*Q$55,0) + IF(Q$4&gt;$E69,MIN(Q69,$I69-SUM($J69:Q69)))</f>
        <v>3.2074690057252067</v>
      </c>
      <c r="S69" s="2">
        <f>IF(R$4=$E69, $I69*R$55,0) + IF(R$4&gt;$E69,MIN(R69,$I69-SUM($J69:R69)))</f>
        <v>3.2074690057252067</v>
      </c>
      <c r="T69" s="2">
        <f>IF(S$4=$E69, $I69*S$55,0) + IF(S$4&gt;$E69,MIN(S69,$I69-SUM($J69:S69)))</f>
        <v>3.2074690057252067</v>
      </c>
      <c r="U69" s="2">
        <f>IF(T$4=$E69, $I69*T$55,0) + IF(T$4&gt;$E69,MIN(T69,$I69-SUM($J69:T69)))</f>
        <v>3.2074690057252067</v>
      </c>
      <c r="V69" s="2">
        <f>IF(U$4=$E69, $I69*U$55,0) + IF(U$4&gt;$E69,MIN(U69,$I69-SUM($J69:U69)))</f>
        <v>3.2074690057252067</v>
      </c>
      <c r="W69" s="2">
        <f>IF(V$4=$E69, $I69*V$55,0) + IF(V$4&gt;$E69,MIN(V69,$I69-SUM($J69:V69)))</f>
        <v>3.2074690057252067</v>
      </c>
      <c r="X69" s="2">
        <f>IF(W$4=$E69, $I69*W$55,0) + IF(W$4&gt;$E69,MIN(W69,$I69-SUM($J69:W69)))</f>
        <v>3.2074690057252067</v>
      </c>
      <c r="Y69" s="2">
        <f>IF(X$4=$E69, $I69*X$55,0) + IF(X$4&gt;$E69,MIN(X69,$I69-SUM($J69:X69)))</f>
        <v>3.2074690057252067</v>
      </c>
      <c r="Z69" s="2">
        <f>IF(Y$4=$E69, $I69*Y$55,0) + IF(Y$4&gt;$E69,MIN(Y69,$I69-SUM($J69:Y69)))</f>
        <v>3.2074690057252067</v>
      </c>
      <c r="AA69" s="2">
        <f>IF(Z$4=$E69, $I69*Z$55,0) + IF(Z$4&gt;$E69,MIN(Z69,$I69-SUM($J69:Z69)))</f>
        <v>3.2074690057252067</v>
      </c>
      <c r="AB69" s="2">
        <f>IF(AA$4=$E69, $I69*AA$55,0) + IF(AA$4&gt;$E69,MIN(AA69,$I69-SUM($J69:AA69)))</f>
        <v>3.2074690057252067</v>
      </c>
      <c r="AC69" s="2">
        <f>IF(AB$4=$E69, $I69*AB$55,0) + IF(AB$4&gt;$E69,MIN(AB69,$I69-SUM($J69:AB69)))</f>
        <v>3.2074690057252067</v>
      </c>
      <c r="AD69" s="2">
        <f>IF(AC$4=$E69, $I69*AC$55,0) + IF(AC$4&gt;$E69,MIN(AC69,$I69-SUM($J69:AC69)))</f>
        <v>3.2074690057252067</v>
      </c>
      <c r="AE69" s="2">
        <f>IF(AD$4=$E69, $I69*AD$55,0) + IF(AD$4&gt;$E69,MIN(AD69,$I69-SUM($J69:AD69)))</f>
        <v>3.2074690057252067</v>
      </c>
      <c r="AF69" s="2">
        <f>IF(AE$4=$E69, $I69*AE$55,0) + IF(AE$4&gt;$E69,MIN(AE69,$I69-SUM($J69:AE69)))</f>
        <v>3.2074690057252067</v>
      </c>
      <c r="AG69" s="2">
        <f>IF(AF$4=$E69, $I69*AF$55,0) + IF(AF$4&gt;$E69,MIN(AF69,$I69-SUM($J69:AF69)))</f>
        <v>3.2074690057252067</v>
      </c>
      <c r="AH69" s="2">
        <f>IF(AG$4=$E69, $I69*AG$55,0) + IF(AG$4&gt;$E69,MIN(AG69,$I69-SUM($J69:AG69)))</f>
        <v>3.2074690057252067</v>
      </c>
      <c r="AI69" s="2">
        <f>IF(AH$4=$E69, $I69*AH$55,0) + IF(AH$4&gt;$E69,MIN(AH69,$I69-SUM($J69:AH69)))</f>
        <v>3.2074690057252067</v>
      </c>
      <c r="AJ69" s="2">
        <f>IF(AI$4=$E69, $I69*AI$55,0) + IF(AI$4&gt;$E69,MIN(AI69,$I69-SUM($J69:AI69)))</f>
        <v>3.2074690057252067</v>
      </c>
      <c r="AK69" s="2">
        <f>IF(AJ$4=$E69, $I69*AJ$55,0) + IF(AJ$4&gt;$E69,MIN(AJ69,$I69-SUM($J69:AJ69)))</f>
        <v>3.2074690057252067</v>
      </c>
      <c r="AL69" s="2">
        <f>IF(AK$4=$E69, $I69*AK$55,0) + IF(AK$4&gt;$E69,MIN(AK69,$I69-SUM($J69:AK69)))</f>
        <v>3.2074690057252067</v>
      </c>
      <c r="AM69" s="2">
        <f>IF(AL$4=$E69, $I69*AL$55,0) + IF(AL$4&gt;$E69,MIN(AL69,$I69-SUM($J69:AL69)))</f>
        <v>3.2074690057252067</v>
      </c>
      <c r="AN69" s="2">
        <f>IF(AM$4=$E69, $I69*AM$55,0) + IF(AM$4&gt;$E69,MIN(AM69,$I69-SUM($J69:AM69)))</f>
        <v>3.2074690057252067</v>
      </c>
      <c r="AO69" s="2">
        <f>IF(AN$4=$E69, $I69*AN$55,0) + IF(AN$4&gt;$E69,MIN(AN69,$I69-SUM($J69:AN69)))</f>
        <v>3.2074690057252067</v>
      </c>
      <c r="AP69" s="2">
        <f>IF(AO$4=$E69, $I69*AO$55,0) + IF(AO$4&gt;$E69,MIN(AO69,$I69-SUM($J69:AO69)))</f>
        <v>3.2074690057252067</v>
      </c>
      <c r="AQ69" s="57">
        <f>IF(AP$4=$E69, $I69*AP$55,0) + IF(AP$4&gt;$E69,MIN(AP69,$I69-SUM($J69:AP69)))</f>
        <v>3.2074690057252067</v>
      </c>
      <c r="AR69" s="2">
        <f>IF(AQ$4=$E69, $I69*AQ$55,0) + IF(AQ$4&gt;$E69,MIN(AQ69,$I69-SUM($J69:AQ69)))</f>
        <v>3.2074690057252067</v>
      </c>
      <c r="AS69" s="2">
        <f>IF(AR$4=$E69, $I69*AR$55,0) + IF(AR$4&gt;$E69,MIN(AR69,$I69-SUM($J69:AR69)))</f>
        <v>3.2074690057252067</v>
      </c>
      <c r="AT69" s="2">
        <f>IF(AS$4=$E69, $I69*AS$55,0) + IF(AS$4&gt;$E69,MIN(AS69,$I69-SUM($J69:AS69)))</f>
        <v>3.2074690057252067</v>
      </c>
      <c r="AU69" s="2">
        <f>IF(AT$4=$E69, $I69*AT$55,0) + IF(AT$4&gt;$E69,MIN(AT69,$I69-SUM($J69:AT69)))</f>
        <v>3.2074690057252067</v>
      </c>
      <c r="AV69" s="2">
        <f>IF(AU$4=$E69, $I69*AU$55,0) + IF(AU$4&gt;$E69,MIN(AU69,$I69-SUM($J69:AU69)))</f>
        <v>3.2074690057252067</v>
      </c>
      <c r="AW69" s="2"/>
    </row>
    <row r="70" spans="5:49" ht="16" outlineLevel="1">
      <c r="E70" s="44">
        <f>INDEX($K$4:$AV$4,,COUNT(E$65:E69)+1)</f>
        <v>34789</v>
      </c>
      <c r="G70" s="2" t="s">
        <v>101</v>
      </c>
      <c r="I70" s="2">
        <f t="shared" si="62"/>
        <v>110.02886078606286</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2.8954963364753383</v>
      </c>
      <c r="Q70" s="2">
        <f>IF(P$4=$E70, $I70*P$55,0) + IF(P$4&gt;$E70,MIN(P70,$I70-SUM($J70:P70)))</f>
        <v>2.8954963364753383</v>
      </c>
      <c r="R70" s="2">
        <f>IF(Q$4=$E70, $I70*Q$55,0) + IF(Q$4&gt;$E70,MIN(Q70,$I70-SUM($J70:Q70)))</f>
        <v>2.8954963364753383</v>
      </c>
      <c r="S70" s="2">
        <f>IF(R$4=$E70, $I70*R$55,0) + IF(R$4&gt;$E70,MIN(R70,$I70-SUM($J70:R70)))</f>
        <v>2.8954963364753383</v>
      </c>
      <c r="T70" s="2">
        <f>IF(S$4=$E70, $I70*S$55,0) + IF(S$4&gt;$E70,MIN(S70,$I70-SUM($J70:S70)))</f>
        <v>2.8954963364753383</v>
      </c>
      <c r="U70" s="2">
        <f>IF(T$4=$E70, $I70*T$55,0) + IF(T$4&gt;$E70,MIN(T70,$I70-SUM($J70:T70)))</f>
        <v>2.8954963364753383</v>
      </c>
      <c r="V70" s="2">
        <f>IF(U$4=$E70, $I70*U$55,0) + IF(U$4&gt;$E70,MIN(U70,$I70-SUM($J70:U70)))</f>
        <v>2.8954963364753383</v>
      </c>
      <c r="W70" s="2">
        <f>IF(V$4=$E70, $I70*V$55,0) + IF(V$4&gt;$E70,MIN(V70,$I70-SUM($J70:V70)))</f>
        <v>2.8954963364753383</v>
      </c>
      <c r="X70" s="2">
        <f>IF(W$4=$E70, $I70*W$55,0) + IF(W$4&gt;$E70,MIN(W70,$I70-SUM($J70:W70)))</f>
        <v>2.8954963364753383</v>
      </c>
      <c r="Y70" s="2">
        <f>IF(X$4=$E70, $I70*X$55,0) + IF(X$4&gt;$E70,MIN(X70,$I70-SUM($J70:X70)))</f>
        <v>2.8954963364753383</v>
      </c>
      <c r="Z70" s="2">
        <f>IF(Y$4=$E70, $I70*Y$55,0) + IF(Y$4&gt;$E70,MIN(Y70,$I70-SUM($J70:Y70)))</f>
        <v>2.8954963364753383</v>
      </c>
      <c r="AA70" s="2">
        <f>IF(Z$4=$E70, $I70*Z$55,0) + IF(Z$4&gt;$E70,MIN(Z70,$I70-SUM($J70:Z70)))</f>
        <v>2.8954963364753383</v>
      </c>
      <c r="AB70" s="2">
        <f>IF(AA$4=$E70, $I70*AA$55,0) + IF(AA$4&gt;$E70,MIN(AA70,$I70-SUM($J70:AA70)))</f>
        <v>2.8954963364753383</v>
      </c>
      <c r="AC70" s="2">
        <f>IF(AB$4=$E70, $I70*AB$55,0) + IF(AB$4&gt;$E70,MIN(AB70,$I70-SUM($J70:AB70)))</f>
        <v>2.8954963364753383</v>
      </c>
      <c r="AD70" s="2">
        <f>IF(AC$4=$E70, $I70*AC$55,0) + IF(AC$4&gt;$E70,MIN(AC70,$I70-SUM($J70:AC70)))</f>
        <v>2.8954963364753383</v>
      </c>
      <c r="AE70" s="2">
        <f>IF(AD$4=$E70, $I70*AD$55,0) + IF(AD$4&gt;$E70,MIN(AD70,$I70-SUM($J70:AD70)))</f>
        <v>2.8954963364753383</v>
      </c>
      <c r="AF70" s="2">
        <f>IF(AE$4=$E70, $I70*AE$55,0) + IF(AE$4&gt;$E70,MIN(AE70,$I70-SUM($J70:AE70)))</f>
        <v>2.8954963364753383</v>
      </c>
      <c r="AG70" s="2">
        <f>IF(AF$4=$E70, $I70*AF$55,0) + IF(AF$4&gt;$E70,MIN(AF70,$I70-SUM($J70:AF70)))</f>
        <v>2.8954963364753383</v>
      </c>
      <c r="AH70" s="2">
        <f>IF(AG$4=$E70, $I70*AG$55,0) + IF(AG$4&gt;$E70,MIN(AG70,$I70-SUM($J70:AG70)))</f>
        <v>2.8954963364753383</v>
      </c>
      <c r="AI70" s="2">
        <f>IF(AH$4=$E70, $I70*AH$55,0) + IF(AH$4&gt;$E70,MIN(AH70,$I70-SUM($J70:AH70)))</f>
        <v>2.8954963364753383</v>
      </c>
      <c r="AJ70" s="2">
        <f>IF(AI$4=$E70, $I70*AI$55,0) + IF(AI$4&gt;$E70,MIN(AI70,$I70-SUM($J70:AI70)))</f>
        <v>2.8954963364753383</v>
      </c>
      <c r="AK70" s="2">
        <f>IF(AJ$4=$E70, $I70*AJ$55,0) + IF(AJ$4&gt;$E70,MIN(AJ70,$I70-SUM($J70:AJ70)))</f>
        <v>2.8954963364753383</v>
      </c>
      <c r="AL70" s="2">
        <f>IF(AK$4=$E70, $I70*AK$55,0) + IF(AK$4&gt;$E70,MIN(AK70,$I70-SUM($J70:AK70)))</f>
        <v>2.8954963364753383</v>
      </c>
      <c r="AM70" s="2">
        <f>IF(AL$4=$E70, $I70*AL$55,0) + IF(AL$4&gt;$E70,MIN(AL70,$I70-SUM($J70:AL70)))</f>
        <v>2.8954963364753383</v>
      </c>
      <c r="AN70" s="2">
        <f>IF(AM$4=$E70, $I70*AM$55,0) + IF(AM$4&gt;$E70,MIN(AM70,$I70-SUM($J70:AM70)))</f>
        <v>2.8954963364753383</v>
      </c>
      <c r="AO70" s="2">
        <f>IF(AN$4=$E70, $I70*AN$55,0) + IF(AN$4&gt;$E70,MIN(AN70,$I70-SUM($J70:AN70)))</f>
        <v>2.8954963364753383</v>
      </c>
      <c r="AP70" s="2">
        <f>IF(AO$4=$E70, $I70*AO$55,0) + IF(AO$4&gt;$E70,MIN(AO70,$I70-SUM($J70:AO70)))</f>
        <v>2.8954963364753383</v>
      </c>
      <c r="AQ70" s="57">
        <f>IF(AP$4=$E70, $I70*AP$55,0) + IF(AP$4&gt;$E70,MIN(AP70,$I70-SUM($J70:AP70)))</f>
        <v>2.8954963364753383</v>
      </c>
      <c r="AR70" s="2">
        <f>IF(AQ$4=$E70, $I70*AQ$55,0) + IF(AQ$4&gt;$E70,MIN(AQ70,$I70-SUM($J70:AQ70)))</f>
        <v>2.8954963364753383</v>
      </c>
      <c r="AS70" s="2">
        <f>IF(AR$4=$E70, $I70*AR$55,0) + IF(AR$4&gt;$E70,MIN(AR70,$I70-SUM($J70:AR70)))</f>
        <v>2.8954963364753383</v>
      </c>
      <c r="AT70" s="2">
        <f>IF(AS$4=$E70, $I70*AS$55,0) + IF(AS$4&gt;$E70,MIN(AS70,$I70-SUM($J70:AS70)))</f>
        <v>2.8954963364753383</v>
      </c>
      <c r="AU70" s="2">
        <f>IF(AT$4=$E70, $I70*AT$55,0) + IF(AT$4&gt;$E70,MIN(AT70,$I70-SUM($J70:AT70)))</f>
        <v>2.8954963364753383</v>
      </c>
      <c r="AV70" s="2">
        <f>IF(AU$4=$E70, $I70*AU$55,0) + IF(AU$4&gt;$E70,MIN(AU70,$I70-SUM($J70:AU70)))</f>
        <v>2.8954963364753383</v>
      </c>
      <c r="AW70" s="2"/>
    </row>
    <row r="71" spans="5:49" ht="16" outlineLevel="1">
      <c r="E71" s="44">
        <f>INDEX($K$4:$AV$4,,COUNT(E$65:E70)+1)</f>
        <v>35155</v>
      </c>
      <c r="G71" s="2" t="s">
        <v>101</v>
      </c>
      <c r="I71" s="2">
        <f t="shared" si="62"/>
        <v>117.06774413601302</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3.0807301088424479</v>
      </c>
      <c r="R71" s="2">
        <f>IF(Q$4=$E71, $I71*Q$55,0) + IF(Q$4&gt;$E71,MIN(Q71,$I71-SUM($J71:Q71)))</f>
        <v>3.0807301088424479</v>
      </c>
      <c r="S71" s="2">
        <f>IF(R$4=$E71, $I71*R$55,0) + IF(R$4&gt;$E71,MIN(R71,$I71-SUM($J71:R71)))</f>
        <v>3.0807301088424479</v>
      </c>
      <c r="T71" s="2">
        <f>IF(S$4=$E71, $I71*S$55,0) + IF(S$4&gt;$E71,MIN(S71,$I71-SUM($J71:S71)))</f>
        <v>3.0807301088424479</v>
      </c>
      <c r="U71" s="2">
        <f>IF(T$4=$E71, $I71*T$55,0) + IF(T$4&gt;$E71,MIN(T71,$I71-SUM($J71:T71)))</f>
        <v>3.0807301088424479</v>
      </c>
      <c r="V71" s="2">
        <f>IF(U$4=$E71, $I71*U$55,0) + IF(U$4&gt;$E71,MIN(U71,$I71-SUM($J71:U71)))</f>
        <v>3.0807301088424479</v>
      </c>
      <c r="W71" s="2">
        <f>IF(V$4=$E71, $I71*V$55,0) + IF(V$4&gt;$E71,MIN(V71,$I71-SUM($J71:V71)))</f>
        <v>3.0807301088424479</v>
      </c>
      <c r="X71" s="2">
        <f>IF(W$4=$E71, $I71*W$55,0) + IF(W$4&gt;$E71,MIN(W71,$I71-SUM($J71:W71)))</f>
        <v>3.0807301088424479</v>
      </c>
      <c r="Y71" s="2">
        <f>IF(X$4=$E71, $I71*X$55,0) + IF(X$4&gt;$E71,MIN(X71,$I71-SUM($J71:X71)))</f>
        <v>3.0807301088424479</v>
      </c>
      <c r="Z71" s="2">
        <f>IF(Y$4=$E71, $I71*Y$55,0) + IF(Y$4&gt;$E71,MIN(Y71,$I71-SUM($J71:Y71)))</f>
        <v>3.0807301088424479</v>
      </c>
      <c r="AA71" s="2">
        <f>IF(Z$4=$E71, $I71*Z$55,0) + IF(Z$4&gt;$E71,MIN(Z71,$I71-SUM($J71:Z71)))</f>
        <v>3.0807301088424479</v>
      </c>
      <c r="AB71" s="2">
        <f>IF(AA$4=$E71, $I71*AA$55,0) + IF(AA$4&gt;$E71,MIN(AA71,$I71-SUM($J71:AA71)))</f>
        <v>3.0807301088424479</v>
      </c>
      <c r="AC71" s="2">
        <f>IF(AB$4=$E71, $I71*AB$55,0) + IF(AB$4&gt;$E71,MIN(AB71,$I71-SUM($J71:AB71)))</f>
        <v>3.0807301088424479</v>
      </c>
      <c r="AD71" s="2">
        <f>IF(AC$4=$E71, $I71*AC$55,0) + IF(AC$4&gt;$E71,MIN(AC71,$I71-SUM($J71:AC71)))</f>
        <v>3.0807301088424479</v>
      </c>
      <c r="AE71" s="2">
        <f>IF(AD$4=$E71, $I71*AD$55,0) + IF(AD$4&gt;$E71,MIN(AD71,$I71-SUM($J71:AD71)))</f>
        <v>3.0807301088424479</v>
      </c>
      <c r="AF71" s="2">
        <f>IF(AE$4=$E71, $I71*AE$55,0) + IF(AE$4&gt;$E71,MIN(AE71,$I71-SUM($J71:AE71)))</f>
        <v>3.0807301088424479</v>
      </c>
      <c r="AG71" s="2">
        <f>IF(AF$4=$E71, $I71*AF$55,0) + IF(AF$4&gt;$E71,MIN(AF71,$I71-SUM($J71:AF71)))</f>
        <v>3.0807301088424479</v>
      </c>
      <c r="AH71" s="2">
        <f>IF(AG$4=$E71, $I71*AG$55,0) + IF(AG$4&gt;$E71,MIN(AG71,$I71-SUM($J71:AG71)))</f>
        <v>3.0807301088424479</v>
      </c>
      <c r="AI71" s="2">
        <f>IF(AH$4=$E71, $I71*AH$55,0) + IF(AH$4&gt;$E71,MIN(AH71,$I71-SUM($J71:AH71)))</f>
        <v>3.0807301088424479</v>
      </c>
      <c r="AJ71" s="2">
        <f>IF(AI$4=$E71, $I71*AI$55,0) + IF(AI$4&gt;$E71,MIN(AI71,$I71-SUM($J71:AI71)))</f>
        <v>3.0807301088424479</v>
      </c>
      <c r="AK71" s="2">
        <f>IF(AJ$4=$E71, $I71*AJ$55,0) + IF(AJ$4&gt;$E71,MIN(AJ71,$I71-SUM($J71:AJ71)))</f>
        <v>3.0807301088424479</v>
      </c>
      <c r="AL71" s="2">
        <f>IF(AK$4=$E71, $I71*AK$55,0) + IF(AK$4&gt;$E71,MIN(AK71,$I71-SUM($J71:AK71)))</f>
        <v>3.0807301088424479</v>
      </c>
      <c r="AM71" s="2">
        <f>IF(AL$4=$E71, $I71*AL$55,0) + IF(AL$4&gt;$E71,MIN(AL71,$I71-SUM($J71:AL71)))</f>
        <v>3.0807301088424479</v>
      </c>
      <c r="AN71" s="2">
        <f>IF(AM$4=$E71, $I71*AM$55,0) + IF(AM$4&gt;$E71,MIN(AM71,$I71-SUM($J71:AM71)))</f>
        <v>3.0807301088424479</v>
      </c>
      <c r="AO71" s="2">
        <f>IF(AN$4=$E71, $I71*AN$55,0) + IF(AN$4&gt;$E71,MIN(AN71,$I71-SUM($J71:AN71)))</f>
        <v>3.0807301088424479</v>
      </c>
      <c r="AP71" s="2">
        <f>IF(AO$4=$E71, $I71*AO$55,0) + IF(AO$4&gt;$E71,MIN(AO71,$I71-SUM($J71:AO71)))</f>
        <v>3.0807301088424479</v>
      </c>
      <c r="AQ71" s="57">
        <f>IF(AP$4=$E71, $I71*AP$55,0) + IF(AP$4&gt;$E71,MIN(AP71,$I71-SUM($J71:AP71)))</f>
        <v>3.0807301088424479</v>
      </c>
      <c r="AR71" s="2">
        <f>IF(AQ$4=$E71, $I71*AQ$55,0) + IF(AQ$4&gt;$E71,MIN(AQ71,$I71-SUM($J71:AQ71)))</f>
        <v>3.0807301088424479</v>
      </c>
      <c r="AS71" s="2">
        <f>IF(AR$4=$E71, $I71*AR$55,0) + IF(AR$4&gt;$E71,MIN(AR71,$I71-SUM($J71:AR71)))</f>
        <v>3.0807301088424479</v>
      </c>
      <c r="AT71" s="2">
        <f>IF(AS$4=$E71, $I71*AS$55,0) + IF(AS$4&gt;$E71,MIN(AS71,$I71-SUM($J71:AS71)))</f>
        <v>3.0807301088424479</v>
      </c>
      <c r="AU71" s="2">
        <f>IF(AT$4=$E71, $I71*AT$55,0) + IF(AT$4&gt;$E71,MIN(AT71,$I71-SUM($J71:AT71)))</f>
        <v>3.0807301088424479</v>
      </c>
      <c r="AV71" s="2">
        <f>IF(AU$4=$E71, $I71*AU$55,0) + IF(AU$4&gt;$E71,MIN(AU71,$I71-SUM($J71:AU71)))</f>
        <v>3.0807301088424479</v>
      </c>
      <c r="AW71" s="2"/>
    </row>
    <row r="72" spans="5:49" ht="16" outlineLevel="1">
      <c r="E72" s="44">
        <f>INDEX($K$4:$AV$4,,COUNT(E$65:E71)+1)</f>
        <v>35520</v>
      </c>
      <c r="G72" s="2" t="s">
        <v>101</v>
      </c>
      <c r="I72" s="2">
        <f t="shared" si="62"/>
        <v>90.764548459883514</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2.3885407489443029</v>
      </c>
      <c r="S72" s="2">
        <f>IF(R$4=$E72, $I72*R$55,0) + IF(R$4&gt;$E72,MIN(R72,$I72-SUM($J72:R72)))</f>
        <v>2.3885407489443029</v>
      </c>
      <c r="T72" s="2">
        <f>IF(S$4=$E72, $I72*S$55,0) + IF(S$4&gt;$E72,MIN(S72,$I72-SUM($J72:S72)))</f>
        <v>2.3885407489443029</v>
      </c>
      <c r="U72" s="2">
        <f>IF(T$4=$E72, $I72*T$55,0) + IF(T$4&gt;$E72,MIN(T72,$I72-SUM($J72:T72)))</f>
        <v>2.3885407489443029</v>
      </c>
      <c r="V72" s="2">
        <f>IF(U$4=$E72, $I72*U$55,0) + IF(U$4&gt;$E72,MIN(U72,$I72-SUM($J72:U72)))</f>
        <v>2.3885407489443029</v>
      </c>
      <c r="W72" s="2">
        <f>IF(V$4=$E72, $I72*V$55,0) + IF(V$4&gt;$E72,MIN(V72,$I72-SUM($J72:V72)))</f>
        <v>2.3885407489443029</v>
      </c>
      <c r="X72" s="2">
        <f>IF(W$4=$E72, $I72*W$55,0) + IF(W$4&gt;$E72,MIN(W72,$I72-SUM($J72:W72)))</f>
        <v>2.3885407489443029</v>
      </c>
      <c r="Y72" s="2">
        <f>IF(X$4=$E72, $I72*X$55,0) + IF(X$4&gt;$E72,MIN(X72,$I72-SUM($J72:X72)))</f>
        <v>2.3885407489443029</v>
      </c>
      <c r="Z72" s="2">
        <f>IF(Y$4=$E72, $I72*Y$55,0) + IF(Y$4&gt;$E72,MIN(Y72,$I72-SUM($J72:Y72)))</f>
        <v>2.3885407489443029</v>
      </c>
      <c r="AA72" s="2">
        <f>IF(Z$4=$E72, $I72*Z$55,0) + IF(Z$4&gt;$E72,MIN(Z72,$I72-SUM($J72:Z72)))</f>
        <v>2.3885407489443029</v>
      </c>
      <c r="AB72" s="2">
        <f>IF(AA$4=$E72, $I72*AA$55,0) + IF(AA$4&gt;$E72,MIN(AA72,$I72-SUM($J72:AA72)))</f>
        <v>2.3885407489443029</v>
      </c>
      <c r="AC72" s="2">
        <f>IF(AB$4=$E72, $I72*AB$55,0) + IF(AB$4&gt;$E72,MIN(AB72,$I72-SUM($J72:AB72)))</f>
        <v>2.3885407489443029</v>
      </c>
      <c r="AD72" s="2">
        <f>IF(AC$4=$E72, $I72*AC$55,0) + IF(AC$4&gt;$E72,MIN(AC72,$I72-SUM($J72:AC72)))</f>
        <v>2.3885407489443029</v>
      </c>
      <c r="AE72" s="2">
        <f>IF(AD$4=$E72, $I72*AD$55,0) + IF(AD$4&gt;$E72,MIN(AD72,$I72-SUM($J72:AD72)))</f>
        <v>2.3885407489443029</v>
      </c>
      <c r="AF72" s="2">
        <f>IF(AE$4=$E72, $I72*AE$55,0) + IF(AE$4&gt;$E72,MIN(AE72,$I72-SUM($J72:AE72)))</f>
        <v>2.3885407489443029</v>
      </c>
      <c r="AG72" s="2">
        <f>IF(AF$4=$E72, $I72*AF$55,0) + IF(AF$4&gt;$E72,MIN(AF72,$I72-SUM($J72:AF72)))</f>
        <v>2.3885407489443029</v>
      </c>
      <c r="AH72" s="2">
        <f>IF(AG$4=$E72, $I72*AG$55,0) + IF(AG$4&gt;$E72,MIN(AG72,$I72-SUM($J72:AG72)))</f>
        <v>2.3885407489443029</v>
      </c>
      <c r="AI72" s="2">
        <f>IF(AH$4=$E72, $I72*AH$55,0) + IF(AH$4&gt;$E72,MIN(AH72,$I72-SUM($J72:AH72)))</f>
        <v>2.3885407489443029</v>
      </c>
      <c r="AJ72" s="2">
        <f>IF(AI$4=$E72, $I72*AI$55,0) + IF(AI$4&gt;$E72,MIN(AI72,$I72-SUM($J72:AI72)))</f>
        <v>2.3885407489443029</v>
      </c>
      <c r="AK72" s="2">
        <f>IF(AJ$4=$E72, $I72*AJ$55,0) + IF(AJ$4&gt;$E72,MIN(AJ72,$I72-SUM($J72:AJ72)))</f>
        <v>2.3885407489443029</v>
      </c>
      <c r="AL72" s="2">
        <f>IF(AK$4=$E72, $I72*AK$55,0) + IF(AK$4&gt;$E72,MIN(AK72,$I72-SUM($J72:AK72)))</f>
        <v>2.3885407489443029</v>
      </c>
      <c r="AM72" s="2">
        <f>IF(AL$4=$E72, $I72*AL$55,0) + IF(AL$4&gt;$E72,MIN(AL72,$I72-SUM($J72:AL72)))</f>
        <v>2.3885407489443029</v>
      </c>
      <c r="AN72" s="2">
        <f>IF(AM$4=$E72, $I72*AM$55,0) + IF(AM$4&gt;$E72,MIN(AM72,$I72-SUM($J72:AM72)))</f>
        <v>2.3885407489443029</v>
      </c>
      <c r="AO72" s="2">
        <f>IF(AN$4=$E72, $I72*AN$55,0) + IF(AN$4&gt;$E72,MIN(AN72,$I72-SUM($J72:AN72)))</f>
        <v>2.3885407489443029</v>
      </c>
      <c r="AP72" s="2">
        <f>IF(AO$4=$E72, $I72*AO$55,0) + IF(AO$4&gt;$E72,MIN(AO72,$I72-SUM($J72:AO72)))</f>
        <v>2.3885407489443029</v>
      </c>
      <c r="AQ72" s="57">
        <f>IF(AP$4=$E72, $I72*AP$55,0) + IF(AP$4&gt;$E72,MIN(AP72,$I72-SUM($J72:AP72)))</f>
        <v>2.3885407489443029</v>
      </c>
      <c r="AR72" s="2">
        <f>IF(AQ$4=$E72, $I72*AQ$55,0) + IF(AQ$4&gt;$E72,MIN(AQ72,$I72-SUM($J72:AQ72)))</f>
        <v>2.3885407489443029</v>
      </c>
      <c r="AS72" s="2">
        <f>IF(AR$4=$E72, $I72*AR$55,0) + IF(AR$4&gt;$E72,MIN(AR72,$I72-SUM($J72:AR72)))</f>
        <v>2.3885407489443029</v>
      </c>
      <c r="AT72" s="2">
        <f>IF(AS$4=$E72, $I72*AS$55,0) + IF(AS$4&gt;$E72,MIN(AS72,$I72-SUM($J72:AS72)))</f>
        <v>2.3885407489443029</v>
      </c>
      <c r="AU72" s="2">
        <f>IF(AT$4=$E72, $I72*AT$55,0) + IF(AT$4&gt;$E72,MIN(AT72,$I72-SUM($J72:AT72)))</f>
        <v>2.3885407489443029</v>
      </c>
      <c r="AV72" s="2">
        <f>IF(AU$4=$E72, $I72*AU$55,0) + IF(AU$4&gt;$E72,MIN(AU72,$I72-SUM($J72:AU72)))</f>
        <v>2.3885407489443029</v>
      </c>
      <c r="AW72" s="2"/>
    </row>
    <row r="73" spans="5:49" ht="16" outlineLevel="1">
      <c r="E73" s="44">
        <f>INDEX($K$4:$AV$4,,COUNT(E$65:E72)+1)</f>
        <v>35885</v>
      </c>
      <c r="G73" s="2" t="s">
        <v>101</v>
      </c>
      <c r="I73" s="2">
        <f t="shared" si="62"/>
        <v>100.39670462297319</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2.6420185427098208</v>
      </c>
      <c r="T73" s="2">
        <f>IF(S$4=$E73, $I73*S$55,0) + IF(S$4&gt;$E73,MIN(S73,$I73-SUM($J73:S73)))</f>
        <v>2.6420185427098208</v>
      </c>
      <c r="U73" s="2">
        <f>IF(T$4=$E73, $I73*T$55,0) + IF(T$4&gt;$E73,MIN(T73,$I73-SUM($J73:T73)))</f>
        <v>2.6420185427098208</v>
      </c>
      <c r="V73" s="2">
        <f>IF(U$4=$E73, $I73*U$55,0) + IF(U$4&gt;$E73,MIN(U73,$I73-SUM($J73:U73)))</f>
        <v>2.6420185427098208</v>
      </c>
      <c r="W73" s="2">
        <f>IF(V$4=$E73, $I73*V$55,0) + IF(V$4&gt;$E73,MIN(V73,$I73-SUM($J73:V73)))</f>
        <v>2.6420185427098208</v>
      </c>
      <c r="X73" s="2">
        <f>IF(W$4=$E73, $I73*W$55,0) + IF(W$4&gt;$E73,MIN(W73,$I73-SUM($J73:W73)))</f>
        <v>2.6420185427098208</v>
      </c>
      <c r="Y73" s="2">
        <f>IF(X$4=$E73, $I73*X$55,0) + IF(X$4&gt;$E73,MIN(X73,$I73-SUM($J73:X73)))</f>
        <v>2.6420185427098208</v>
      </c>
      <c r="Z73" s="2">
        <f>IF(Y$4=$E73, $I73*Y$55,0) + IF(Y$4&gt;$E73,MIN(Y73,$I73-SUM($J73:Y73)))</f>
        <v>2.6420185427098208</v>
      </c>
      <c r="AA73" s="2">
        <f>IF(Z$4=$E73, $I73*Z$55,0) + IF(Z$4&gt;$E73,MIN(Z73,$I73-SUM($J73:Z73)))</f>
        <v>2.6420185427098208</v>
      </c>
      <c r="AB73" s="2">
        <f>IF(AA$4=$E73, $I73*AA$55,0) + IF(AA$4&gt;$E73,MIN(AA73,$I73-SUM($J73:AA73)))</f>
        <v>2.6420185427098208</v>
      </c>
      <c r="AC73" s="2">
        <f>IF(AB$4=$E73, $I73*AB$55,0) + IF(AB$4&gt;$E73,MIN(AB73,$I73-SUM($J73:AB73)))</f>
        <v>2.6420185427098208</v>
      </c>
      <c r="AD73" s="2">
        <f>IF(AC$4=$E73, $I73*AC$55,0) + IF(AC$4&gt;$E73,MIN(AC73,$I73-SUM($J73:AC73)))</f>
        <v>2.6420185427098208</v>
      </c>
      <c r="AE73" s="2">
        <f>IF(AD$4=$E73, $I73*AD$55,0) + IF(AD$4&gt;$E73,MIN(AD73,$I73-SUM($J73:AD73)))</f>
        <v>2.6420185427098208</v>
      </c>
      <c r="AF73" s="2">
        <f>IF(AE$4=$E73, $I73*AE$55,0) + IF(AE$4&gt;$E73,MIN(AE73,$I73-SUM($J73:AE73)))</f>
        <v>2.6420185427098208</v>
      </c>
      <c r="AG73" s="2">
        <f>IF(AF$4=$E73, $I73*AF$55,0) + IF(AF$4&gt;$E73,MIN(AF73,$I73-SUM($J73:AF73)))</f>
        <v>2.6420185427098208</v>
      </c>
      <c r="AH73" s="2">
        <f>IF(AG$4=$E73, $I73*AG$55,0) + IF(AG$4&gt;$E73,MIN(AG73,$I73-SUM($J73:AG73)))</f>
        <v>2.6420185427098208</v>
      </c>
      <c r="AI73" s="2">
        <f>IF(AH$4=$E73, $I73*AH$55,0) + IF(AH$4&gt;$E73,MIN(AH73,$I73-SUM($J73:AH73)))</f>
        <v>2.6420185427098208</v>
      </c>
      <c r="AJ73" s="2">
        <f>IF(AI$4=$E73, $I73*AI$55,0) + IF(AI$4&gt;$E73,MIN(AI73,$I73-SUM($J73:AI73)))</f>
        <v>2.6420185427098208</v>
      </c>
      <c r="AK73" s="2">
        <f>IF(AJ$4=$E73, $I73*AJ$55,0) + IF(AJ$4&gt;$E73,MIN(AJ73,$I73-SUM($J73:AJ73)))</f>
        <v>2.6420185427098208</v>
      </c>
      <c r="AL73" s="2">
        <f>IF(AK$4=$E73, $I73*AK$55,0) + IF(AK$4&gt;$E73,MIN(AK73,$I73-SUM($J73:AK73)))</f>
        <v>2.6420185427098208</v>
      </c>
      <c r="AM73" s="2">
        <f>IF(AL$4=$E73, $I73*AL$55,0) + IF(AL$4&gt;$E73,MIN(AL73,$I73-SUM($J73:AL73)))</f>
        <v>2.6420185427098208</v>
      </c>
      <c r="AN73" s="2">
        <f>IF(AM$4=$E73, $I73*AM$55,0) + IF(AM$4&gt;$E73,MIN(AM73,$I73-SUM($J73:AM73)))</f>
        <v>2.6420185427098208</v>
      </c>
      <c r="AO73" s="2">
        <f>IF(AN$4=$E73, $I73*AN$55,0) + IF(AN$4&gt;$E73,MIN(AN73,$I73-SUM($J73:AN73)))</f>
        <v>2.6420185427098208</v>
      </c>
      <c r="AP73" s="2">
        <f>IF(AO$4=$E73, $I73*AO$55,0) + IF(AO$4&gt;$E73,MIN(AO73,$I73-SUM($J73:AO73)))</f>
        <v>2.6420185427098208</v>
      </c>
      <c r="AQ73" s="57">
        <f>IF(AP$4=$E73, $I73*AP$55,0) + IF(AP$4&gt;$E73,MIN(AP73,$I73-SUM($J73:AP73)))</f>
        <v>2.6420185427098208</v>
      </c>
      <c r="AR73" s="2">
        <f>IF(AQ$4=$E73, $I73*AQ$55,0) + IF(AQ$4&gt;$E73,MIN(AQ73,$I73-SUM($J73:AQ73)))</f>
        <v>2.6420185427098208</v>
      </c>
      <c r="AS73" s="2">
        <f>IF(AR$4=$E73, $I73*AR$55,0) + IF(AR$4&gt;$E73,MIN(AR73,$I73-SUM($J73:AR73)))</f>
        <v>2.6420185427098208</v>
      </c>
      <c r="AT73" s="2">
        <f>IF(AS$4=$E73, $I73*AS$55,0) + IF(AS$4&gt;$E73,MIN(AS73,$I73-SUM($J73:AS73)))</f>
        <v>2.6420185427098208</v>
      </c>
      <c r="AU73" s="2">
        <f>IF(AT$4=$E73, $I73*AT$55,0) + IF(AT$4&gt;$E73,MIN(AT73,$I73-SUM($J73:AT73)))</f>
        <v>2.6420185427098208</v>
      </c>
      <c r="AV73" s="2">
        <f>IF(AU$4=$E73, $I73*AU$55,0) + IF(AU$4&gt;$E73,MIN(AU73,$I73-SUM($J73:AU73)))</f>
        <v>2.6420185427098208</v>
      </c>
      <c r="AW73" s="2"/>
    </row>
    <row r="74" spans="5:49" ht="16" outlineLevel="1">
      <c r="E74" s="44">
        <f>INDEX($K$4:$AV$4,,COUNT(E$65:E73)+1)</f>
        <v>36250</v>
      </c>
      <c r="G74" s="2" t="s">
        <v>101</v>
      </c>
      <c r="I74" s="2">
        <f t="shared" si="62"/>
        <v>111.19383237494276</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2.9261534835511251</v>
      </c>
      <c r="U74" s="2">
        <f>IF(T$4=$E74, $I74*T$55,0) + IF(T$4&gt;$E74,MIN(T74,$I74-SUM($J74:T74)))</f>
        <v>2.9261534835511251</v>
      </c>
      <c r="V74" s="2">
        <f>IF(U$4=$E74, $I74*U$55,0) + IF(U$4&gt;$E74,MIN(U74,$I74-SUM($J74:U74)))</f>
        <v>2.9261534835511251</v>
      </c>
      <c r="W74" s="2">
        <f>IF(V$4=$E74, $I74*V$55,0) + IF(V$4&gt;$E74,MIN(V74,$I74-SUM($J74:V74)))</f>
        <v>2.9261534835511251</v>
      </c>
      <c r="X74" s="2">
        <f>IF(W$4=$E74, $I74*W$55,0) + IF(W$4&gt;$E74,MIN(W74,$I74-SUM($J74:W74)))</f>
        <v>2.9261534835511251</v>
      </c>
      <c r="Y74" s="2">
        <f>IF(X$4=$E74, $I74*X$55,0) + IF(X$4&gt;$E74,MIN(X74,$I74-SUM($J74:X74)))</f>
        <v>2.9261534835511251</v>
      </c>
      <c r="Z74" s="2">
        <f>IF(Y$4=$E74, $I74*Y$55,0) + IF(Y$4&gt;$E74,MIN(Y74,$I74-SUM($J74:Y74)))</f>
        <v>2.9261534835511251</v>
      </c>
      <c r="AA74" s="2">
        <f>IF(Z$4=$E74, $I74*Z$55,0) + IF(Z$4&gt;$E74,MIN(Z74,$I74-SUM($J74:Z74)))</f>
        <v>2.9261534835511251</v>
      </c>
      <c r="AB74" s="2">
        <f>IF(AA$4=$E74, $I74*AA$55,0) + IF(AA$4&gt;$E74,MIN(AA74,$I74-SUM($J74:AA74)))</f>
        <v>2.9261534835511251</v>
      </c>
      <c r="AC74" s="2">
        <f>IF(AB$4=$E74, $I74*AB$55,0) + IF(AB$4&gt;$E74,MIN(AB74,$I74-SUM($J74:AB74)))</f>
        <v>2.9261534835511251</v>
      </c>
      <c r="AD74" s="2">
        <f>IF(AC$4=$E74, $I74*AC$55,0) + IF(AC$4&gt;$E74,MIN(AC74,$I74-SUM($J74:AC74)))</f>
        <v>2.9261534835511251</v>
      </c>
      <c r="AE74" s="2">
        <f>IF(AD$4=$E74, $I74*AD$55,0) + IF(AD$4&gt;$E74,MIN(AD74,$I74-SUM($J74:AD74)))</f>
        <v>2.9261534835511251</v>
      </c>
      <c r="AF74" s="2">
        <f>IF(AE$4=$E74, $I74*AE$55,0) + IF(AE$4&gt;$E74,MIN(AE74,$I74-SUM($J74:AE74)))</f>
        <v>2.9261534835511251</v>
      </c>
      <c r="AG74" s="2">
        <f>IF(AF$4=$E74, $I74*AF$55,0) + IF(AF$4&gt;$E74,MIN(AF74,$I74-SUM($J74:AF74)))</f>
        <v>2.9261534835511251</v>
      </c>
      <c r="AH74" s="2">
        <f>IF(AG$4=$E74, $I74*AG$55,0) + IF(AG$4&gt;$E74,MIN(AG74,$I74-SUM($J74:AG74)))</f>
        <v>2.9261534835511251</v>
      </c>
      <c r="AI74" s="2">
        <f>IF(AH$4=$E74, $I74*AH$55,0) + IF(AH$4&gt;$E74,MIN(AH74,$I74-SUM($J74:AH74)))</f>
        <v>2.9261534835511251</v>
      </c>
      <c r="AJ74" s="2">
        <f>IF(AI$4=$E74, $I74*AI$55,0) + IF(AI$4&gt;$E74,MIN(AI74,$I74-SUM($J74:AI74)))</f>
        <v>2.9261534835511251</v>
      </c>
      <c r="AK74" s="2">
        <f>IF(AJ$4=$E74, $I74*AJ$55,0) + IF(AJ$4&gt;$E74,MIN(AJ74,$I74-SUM($J74:AJ74)))</f>
        <v>2.9261534835511251</v>
      </c>
      <c r="AL74" s="2">
        <f>IF(AK$4=$E74, $I74*AK$55,0) + IF(AK$4&gt;$E74,MIN(AK74,$I74-SUM($J74:AK74)))</f>
        <v>2.9261534835511251</v>
      </c>
      <c r="AM74" s="2">
        <f>IF(AL$4=$E74, $I74*AL$55,0) + IF(AL$4&gt;$E74,MIN(AL74,$I74-SUM($J74:AL74)))</f>
        <v>2.9261534835511251</v>
      </c>
      <c r="AN74" s="2">
        <f>IF(AM$4=$E74, $I74*AM$55,0) + IF(AM$4&gt;$E74,MIN(AM74,$I74-SUM($J74:AM74)))</f>
        <v>2.9261534835511251</v>
      </c>
      <c r="AO74" s="2">
        <f>IF(AN$4=$E74, $I74*AN$55,0) + IF(AN$4&gt;$E74,MIN(AN74,$I74-SUM($J74:AN74)))</f>
        <v>2.9261534835511251</v>
      </c>
      <c r="AP74" s="2">
        <f>IF(AO$4=$E74, $I74*AO$55,0) + IF(AO$4&gt;$E74,MIN(AO74,$I74-SUM($J74:AO74)))</f>
        <v>2.9261534835511251</v>
      </c>
      <c r="AQ74" s="57">
        <f>IF(AP$4=$E74, $I74*AP$55,0) + IF(AP$4&gt;$E74,MIN(AP74,$I74-SUM($J74:AP74)))</f>
        <v>2.9261534835511251</v>
      </c>
      <c r="AR74" s="2">
        <f>IF(AQ$4=$E74, $I74*AQ$55,0) + IF(AQ$4&gt;$E74,MIN(AQ74,$I74-SUM($J74:AQ74)))</f>
        <v>2.9261534835511251</v>
      </c>
      <c r="AS74" s="2">
        <f>IF(AR$4=$E74, $I74*AR$55,0) + IF(AR$4&gt;$E74,MIN(AR74,$I74-SUM($J74:AR74)))</f>
        <v>2.9261534835511251</v>
      </c>
      <c r="AT74" s="2">
        <f>IF(AS$4=$E74, $I74*AS$55,0) + IF(AS$4&gt;$E74,MIN(AS74,$I74-SUM($J74:AS74)))</f>
        <v>2.9261534835511251</v>
      </c>
      <c r="AU74" s="2">
        <f>IF(AT$4=$E74, $I74*AT$55,0) + IF(AT$4&gt;$E74,MIN(AT74,$I74-SUM($J74:AT74)))</f>
        <v>2.9261534835511251</v>
      </c>
      <c r="AV74" s="2">
        <f>IF(AU$4=$E74, $I74*AU$55,0) + IF(AU$4&gt;$E74,MIN(AU74,$I74-SUM($J74:AU74)))</f>
        <v>2.9261534835511251</v>
      </c>
      <c r="AW74" s="2"/>
    </row>
    <row r="75" spans="5:49" ht="16" outlineLevel="1">
      <c r="E75" s="44">
        <f>INDEX($K$4:$AV$4,,COUNT(E$65:E74)+1)</f>
        <v>36616</v>
      </c>
      <c r="G75" s="2" t="s">
        <v>101</v>
      </c>
      <c r="I75" s="2">
        <f t="shared" si="62"/>
        <v>103.09538122432622</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2.7130363480085844</v>
      </c>
      <c r="V75" s="2">
        <f>IF(U$4=$E75, $I75*U$55,0) + IF(U$4&gt;$E75,MIN(U75,$I75-SUM($J75:U75)))</f>
        <v>2.7130363480085844</v>
      </c>
      <c r="W75" s="2">
        <f>IF(V$4=$E75, $I75*V$55,0) + IF(V$4&gt;$E75,MIN(V75,$I75-SUM($J75:V75)))</f>
        <v>2.7130363480085844</v>
      </c>
      <c r="X75" s="2">
        <f>IF(W$4=$E75, $I75*W$55,0) + IF(W$4&gt;$E75,MIN(W75,$I75-SUM($J75:W75)))</f>
        <v>2.7130363480085844</v>
      </c>
      <c r="Y75" s="2">
        <f>IF(X$4=$E75, $I75*X$55,0) + IF(X$4&gt;$E75,MIN(X75,$I75-SUM($J75:X75)))</f>
        <v>2.7130363480085844</v>
      </c>
      <c r="Z75" s="2">
        <f>IF(Y$4=$E75, $I75*Y$55,0) + IF(Y$4&gt;$E75,MIN(Y75,$I75-SUM($J75:Y75)))</f>
        <v>2.7130363480085844</v>
      </c>
      <c r="AA75" s="2">
        <f>IF(Z$4=$E75, $I75*Z$55,0) + IF(Z$4&gt;$E75,MIN(Z75,$I75-SUM($J75:Z75)))</f>
        <v>2.7130363480085844</v>
      </c>
      <c r="AB75" s="2">
        <f>IF(AA$4=$E75, $I75*AA$55,0) + IF(AA$4&gt;$E75,MIN(AA75,$I75-SUM($J75:AA75)))</f>
        <v>2.7130363480085844</v>
      </c>
      <c r="AC75" s="2">
        <f>IF(AB$4=$E75, $I75*AB$55,0) + IF(AB$4&gt;$E75,MIN(AB75,$I75-SUM($J75:AB75)))</f>
        <v>2.7130363480085844</v>
      </c>
      <c r="AD75" s="2">
        <f>IF(AC$4=$E75, $I75*AC$55,0) + IF(AC$4&gt;$E75,MIN(AC75,$I75-SUM($J75:AC75)))</f>
        <v>2.7130363480085844</v>
      </c>
      <c r="AE75" s="2">
        <f>IF(AD$4=$E75, $I75*AD$55,0) + IF(AD$4&gt;$E75,MIN(AD75,$I75-SUM($J75:AD75)))</f>
        <v>2.7130363480085844</v>
      </c>
      <c r="AF75" s="2">
        <f>IF(AE$4=$E75, $I75*AE$55,0) + IF(AE$4&gt;$E75,MIN(AE75,$I75-SUM($J75:AE75)))</f>
        <v>2.7130363480085844</v>
      </c>
      <c r="AG75" s="2">
        <f>IF(AF$4=$E75, $I75*AF$55,0) + IF(AF$4&gt;$E75,MIN(AF75,$I75-SUM($J75:AF75)))</f>
        <v>2.7130363480085844</v>
      </c>
      <c r="AH75" s="2">
        <f>IF(AG$4=$E75, $I75*AG$55,0) + IF(AG$4&gt;$E75,MIN(AG75,$I75-SUM($J75:AG75)))</f>
        <v>2.7130363480085844</v>
      </c>
      <c r="AI75" s="2">
        <f>IF(AH$4=$E75, $I75*AH$55,0) + IF(AH$4&gt;$E75,MIN(AH75,$I75-SUM($J75:AH75)))</f>
        <v>2.7130363480085844</v>
      </c>
      <c r="AJ75" s="2">
        <f>IF(AI$4=$E75, $I75*AI$55,0) + IF(AI$4&gt;$E75,MIN(AI75,$I75-SUM($J75:AI75)))</f>
        <v>2.7130363480085844</v>
      </c>
      <c r="AK75" s="2">
        <f>IF(AJ$4=$E75, $I75*AJ$55,0) + IF(AJ$4&gt;$E75,MIN(AJ75,$I75-SUM($J75:AJ75)))</f>
        <v>2.7130363480085844</v>
      </c>
      <c r="AL75" s="2">
        <f>IF(AK$4=$E75, $I75*AK$55,0) + IF(AK$4&gt;$E75,MIN(AK75,$I75-SUM($J75:AK75)))</f>
        <v>2.7130363480085844</v>
      </c>
      <c r="AM75" s="2">
        <f>IF(AL$4=$E75, $I75*AL$55,0) + IF(AL$4&gt;$E75,MIN(AL75,$I75-SUM($J75:AL75)))</f>
        <v>2.7130363480085844</v>
      </c>
      <c r="AN75" s="2">
        <f>IF(AM$4=$E75, $I75*AM$55,0) + IF(AM$4&gt;$E75,MIN(AM75,$I75-SUM($J75:AM75)))</f>
        <v>2.7130363480085844</v>
      </c>
      <c r="AO75" s="2">
        <f>IF(AN$4=$E75, $I75*AN$55,0) + IF(AN$4&gt;$E75,MIN(AN75,$I75-SUM($J75:AN75)))</f>
        <v>2.7130363480085844</v>
      </c>
      <c r="AP75" s="2">
        <f>IF(AO$4=$E75, $I75*AO$55,0) + IF(AO$4&gt;$E75,MIN(AO75,$I75-SUM($J75:AO75)))</f>
        <v>2.7130363480085844</v>
      </c>
      <c r="AQ75" s="57">
        <f>IF(AP$4=$E75, $I75*AP$55,0) + IF(AP$4&gt;$E75,MIN(AP75,$I75-SUM($J75:AP75)))</f>
        <v>2.7130363480085844</v>
      </c>
      <c r="AR75" s="2">
        <f>IF(AQ$4=$E75, $I75*AQ$55,0) + IF(AQ$4&gt;$E75,MIN(AQ75,$I75-SUM($J75:AQ75)))</f>
        <v>2.7130363480085844</v>
      </c>
      <c r="AS75" s="2">
        <f>IF(AR$4=$E75, $I75*AR$55,0) + IF(AR$4&gt;$E75,MIN(AR75,$I75-SUM($J75:AR75)))</f>
        <v>2.7130363480085844</v>
      </c>
      <c r="AT75" s="2">
        <f>IF(AS$4=$E75, $I75*AS$55,0) + IF(AS$4&gt;$E75,MIN(AS75,$I75-SUM($J75:AS75)))</f>
        <v>2.7130363480085844</v>
      </c>
      <c r="AU75" s="2">
        <f>IF(AT$4=$E75, $I75*AT$55,0) + IF(AT$4&gt;$E75,MIN(AT75,$I75-SUM($J75:AT75)))</f>
        <v>2.7130363480085844</v>
      </c>
      <c r="AV75" s="2">
        <f>IF(AU$4=$E75, $I75*AU$55,0) + IF(AU$4&gt;$E75,MIN(AU75,$I75-SUM($J75:AU75)))</f>
        <v>2.7130363480085844</v>
      </c>
      <c r="AW75" s="2"/>
    </row>
    <row r="76" spans="5:49" ht="16" outlineLevel="1">
      <c r="E76" s="44">
        <f>INDEX($K$4:$AV$4,,COUNT(E$65:E75)+1)</f>
        <v>36981</v>
      </c>
      <c r="G76" s="2" t="s">
        <v>101</v>
      </c>
      <c r="I76" s="2">
        <f t="shared" si="62"/>
        <v>109.03541200505889</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2.8693529475015493</v>
      </c>
      <c r="W76" s="2">
        <f>IF(V$4=$E76, $I76*V$55,0) + IF(V$4&gt;$E76,MIN(V76,$I76-SUM($J76:V76)))</f>
        <v>2.8693529475015493</v>
      </c>
      <c r="X76" s="2">
        <f>IF(W$4=$E76, $I76*W$55,0) + IF(W$4&gt;$E76,MIN(W76,$I76-SUM($J76:W76)))</f>
        <v>2.8693529475015493</v>
      </c>
      <c r="Y76" s="2">
        <f>IF(X$4=$E76, $I76*X$55,0) + IF(X$4&gt;$E76,MIN(X76,$I76-SUM($J76:X76)))</f>
        <v>2.8693529475015493</v>
      </c>
      <c r="Z76" s="2">
        <f>IF(Y$4=$E76, $I76*Y$55,0) + IF(Y$4&gt;$E76,MIN(Y76,$I76-SUM($J76:Y76)))</f>
        <v>2.8693529475015493</v>
      </c>
      <c r="AA76" s="2">
        <f>IF(Z$4=$E76, $I76*Z$55,0) + IF(Z$4&gt;$E76,MIN(Z76,$I76-SUM($J76:Z76)))</f>
        <v>2.8693529475015493</v>
      </c>
      <c r="AB76" s="2">
        <f>IF(AA$4=$E76, $I76*AA$55,0) + IF(AA$4&gt;$E76,MIN(AA76,$I76-SUM($J76:AA76)))</f>
        <v>2.8693529475015493</v>
      </c>
      <c r="AC76" s="2">
        <f>IF(AB$4=$E76, $I76*AB$55,0) + IF(AB$4&gt;$E76,MIN(AB76,$I76-SUM($J76:AB76)))</f>
        <v>2.8693529475015493</v>
      </c>
      <c r="AD76" s="2">
        <f>IF(AC$4=$E76, $I76*AC$55,0) + IF(AC$4&gt;$E76,MIN(AC76,$I76-SUM($J76:AC76)))</f>
        <v>2.8693529475015493</v>
      </c>
      <c r="AE76" s="2">
        <f>IF(AD$4=$E76, $I76*AD$55,0) + IF(AD$4&gt;$E76,MIN(AD76,$I76-SUM($J76:AD76)))</f>
        <v>2.8693529475015493</v>
      </c>
      <c r="AF76" s="2">
        <f>IF(AE$4=$E76, $I76*AE$55,0) + IF(AE$4&gt;$E76,MIN(AE76,$I76-SUM($J76:AE76)))</f>
        <v>2.8693529475015493</v>
      </c>
      <c r="AG76" s="2">
        <f>IF(AF$4=$E76, $I76*AF$55,0) + IF(AF$4&gt;$E76,MIN(AF76,$I76-SUM($J76:AF76)))</f>
        <v>2.8693529475015493</v>
      </c>
      <c r="AH76" s="2">
        <f>IF(AG$4=$E76, $I76*AG$55,0) + IF(AG$4&gt;$E76,MIN(AG76,$I76-SUM($J76:AG76)))</f>
        <v>2.8693529475015493</v>
      </c>
      <c r="AI76" s="2">
        <f>IF(AH$4=$E76, $I76*AH$55,0) + IF(AH$4&gt;$E76,MIN(AH76,$I76-SUM($J76:AH76)))</f>
        <v>2.8693529475015493</v>
      </c>
      <c r="AJ76" s="2">
        <f>IF(AI$4=$E76, $I76*AI$55,0) + IF(AI$4&gt;$E76,MIN(AI76,$I76-SUM($J76:AI76)))</f>
        <v>2.8693529475015493</v>
      </c>
      <c r="AK76" s="2">
        <f>IF(AJ$4=$E76, $I76*AJ$55,0) + IF(AJ$4&gt;$E76,MIN(AJ76,$I76-SUM($J76:AJ76)))</f>
        <v>2.8693529475015493</v>
      </c>
      <c r="AL76" s="2">
        <f>IF(AK$4=$E76, $I76*AK$55,0) + IF(AK$4&gt;$E76,MIN(AK76,$I76-SUM($J76:AK76)))</f>
        <v>2.8693529475015493</v>
      </c>
      <c r="AM76" s="2">
        <f>IF(AL$4=$E76, $I76*AL$55,0) + IF(AL$4&gt;$E76,MIN(AL76,$I76-SUM($J76:AL76)))</f>
        <v>2.8693529475015493</v>
      </c>
      <c r="AN76" s="2">
        <f>IF(AM$4=$E76, $I76*AM$55,0) + IF(AM$4&gt;$E76,MIN(AM76,$I76-SUM($J76:AM76)))</f>
        <v>2.8693529475015493</v>
      </c>
      <c r="AO76" s="2">
        <f>IF(AN$4=$E76, $I76*AN$55,0) + IF(AN$4&gt;$E76,MIN(AN76,$I76-SUM($J76:AN76)))</f>
        <v>2.8693529475015493</v>
      </c>
      <c r="AP76" s="2">
        <f>IF(AO$4=$E76, $I76*AO$55,0) + IF(AO$4&gt;$E76,MIN(AO76,$I76-SUM($J76:AO76)))</f>
        <v>2.8693529475015493</v>
      </c>
      <c r="AQ76" s="57">
        <f>IF(AP$4=$E76, $I76*AP$55,0) + IF(AP$4&gt;$E76,MIN(AP76,$I76-SUM($J76:AP76)))</f>
        <v>2.8693529475015493</v>
      </c>
      <c r="AR76" s="2">
        <f>IF(AQ$4=$E76, $I76*AQ$55,0) + IF(AQ$4&gt;$E76,MIN(AQ76,$I76-SUM($J76:AQ76)))</f>
        <v>2.8693529475015493</v>
      </c>
      <c r="AS76" s="2">
        <f>IF(AR$4=$E76, $I76*AR$55,0) + IF(AR$4&gt;$E76,MIN(AR76,$I76-SUM($J76:AR76)))</f>
        <v>2.8693529475015493</v>
      </c>
      <c r="AT76" s="2">
        <f>IF(AS$4=$E76, $I76*AS$55,0) + IF(AS$4&gt;$E76,MIN(AS76,$I76-SUM($J76:AS76)))</f>
        <v>2.8693529475015493</v>
      </c>
      <c r="AU76" s="2">
        <f>IF(AT$4=$E76, $I76*AT$55,0) + IF(AT$4&gt;$E76,MIN(AT76,$I76-SUM($J76:AT76)))</f>
        <v>2.8693529475015493</v>
      </c>
      <c r="AV76" s="2">
        <f>IF(AU$4=$E76, $I76*AU$55,0) + IF(AU$4&gt;$E76,MIN(AU76,$I76-SUM($J76:AU76)))</f>
        <v>2.8693529475015493</v>
      </c>
      <c r="AW76" s="2"/>
    </row>
    <row r="77" spans="5:49" ht="16" outlineLevel="1">
      <c r="E77" s="44">
        <f>INDEX($K$4:$AV$4,,COUNT(E$65:E76)+1)</f>
        <v>37346</v>
      </c>
      <c r="G77" s="2" t="s">
        <v>101</v>
      </c>
      <c r="I77" s="2">
        <f t="shared" si="62"/>
        <v>141.77522166307213</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3.7309268858703191</v>
      </c>
      <c r="X77" s="2">
        <f>IF(W$4=$E77, $I77*W$55,0) + IF(W$4&gt;$E77,MIN(W77,$I77-SUM($J77:W77)))</f>
        <v>3.7309268858703191</v>
      </c>
      <c r="Y77" s="2">
        <f>IF(X$4=$E77, $I77*X$55,0) + IF(X$4&gt;$E77,MIN(X77,$I77-SUM($J77:X77)))</f>
        <v>3.7309268858703191</v>
      </c>
      <c r="Z77" s="2">
        <f>IF(Y$4=$E77, $I77*Y$55,0) + IF(Y$4&gt;$E77,MIN(Y77,$I77-SUM($J77:Y77)))</f>
        <v>3.7309268858703191</v>
      </c>
      <c r="AA77" s="2">
        <f>IF(Z$4=$E77, $I77*Z$55,0) + IF(Z$4&gt;$E77,MIN(Z77,$I77-SUM($J77:Z77)))</f>
        <v>3.7309268858703191</v>
      </c>
      <c r="AB77" s="2">
        <f>IF(AA$4=$E77, $I77*AA$55,0) + IF(AA$4&gt;$E77,MIN(AA77,$I77-SUM($J77:AA77)))</f>
        <v>3.7309268858703191</v>
      </c>
      <c r="AC77" s="2">
        <f>IF(AB$4=$E77, $I77*AB$55,0) + IF(AB$4&gt;$E77,MIN(AB77,$I77-SUM($J77:AB77)))</f>
        <v>3.7309268858703191</v>
      </c>
      <c r="AD77" s="2">
        <f>IF(AC$4=$E77, $I77*AC$55,0) + IF(AC$4&gt;$E77,MIN(AC77,$I77-SUM($J77:AC77)))</f>
        <v>3.7309268858703191</v>
      </c>
      <c r="AE77" s="2">
        <f>IF(AD$4=$E77, $I77*AD$55,0) + IF(AD$4&gt;$E77,MIN(AD77,$I77-SUM($J77:AD77)))</f>
        <v>3.7309268858703191</v>
      </c>
      <c r="AF77" s="2">
        <f>IF(AE$4=$E77, $I77*AE$55,0) + IF(AE$4&gt;$E77,MIN(AE77,$I77-SUM($J77:AE77)))</f>
        <v>3.7309268858703191</v>
      </c>
      <c r="AG77" s="2">
        <f>IF(AF$4=$E77, $I77*AF$55,0) + IF(AF$4&gt;$E77,MIN(AF77,$I77-SUM($J77:AF77)))</f>
        <v>3.7309268858703191</v>
      </c>
      <c r="AH77" s="2">
        <f>IF(AG$4=$E77, $I77*AG$55,0) + IF(AG$4&gt;$E77,MIN(AG77,$I77-SUM($J77:AG77)))</f>
        <v>3.7309268858703191</v>
      </c>
      <c r="AI77" s="2">
        <f>IF(AH$4=$E77, $I77*AH$55,0) + IF(AH$4&gt;$E77,MIN(AH77,$I77-SUM($J77:AH77)))</f>
        <v>3.7309268858703191</v>
      </c>
      <c r="AJ77" s="2">
        <f>IF(AI$4=$E77, $I77*AI$55,0) + IF(AI$4&gt;$E77,MIN(AI77,$I77-SUM($J77:AI77)))</f>
        <v>3.7309268858703191</v>
      </c>
      <c r="AK77" s="2">
        <f>IF(AJ$4=$E77, $I77*AJ$55,0) + IF(AJ$4&gt;$E77,MIN(AJ77,$I77-SUM($J77:AJ77)))</f>
        <v>3.7309268858703191</v>
      </c>
      <c r="AL77" s="2">
        <f>IF(AK$4=$E77, $I77*AK$55,0) + IF(AK$4&gt;$E77,MIN(AK77,$I77-SUM($J77:AK77)))</f>
        <v>3.7309268858703191</v>
      </c>
      <c r="AM77" s="2">
        <f>IF(AL$4=$E77, $I77*AL$55,0) + IF(AL$4&gt;$E77,MIN(AL77,$I77-SUM($J77:AL77)))</f>
        <v>3.7309268858703191</v>
      </c>
      <c r="AN77" s="2">
        <f>IF(AM$4=$E77, $I77*AM$55,0) + IF(AM$4&gt;$E77,MIN(AM77,$I77-SUM($J77:AM77)))</f>
        <v>3.7309268858703191</v>
      </c>
      <c r="AO77" s="2">
        <f>IF(AN$4=$E77, $I77*AN$55,0) + IF(AN$4&gt;$E77,MIN(AN77,$I77-SUM($J77:AN77)))</f>
        <v>3.7309268858703191</v>
      </c>
      <c r="AP77" s="2">
        <f>IF(AO$4=$E77, $I77*AO$55,0) + IF(AO$4&gt;$E77,MIN(AO77,$I77-SUM($J77:AO77)))</f>
        <v>3.7309268858703191</v>
      </c>
      <c r="AQ77" s="57">
        <f>IF(AP$4=$E77, $I77*AP$55,0) + IF(AP$4&gt;$E77,MIN(AP77,$I77-SUM($J77:AP77)))</f>
        <v>3.7309268858703191</v>
      </c>
      <c r="AR77" s="2">
        <f>IF(AQ$4=$E77, $I77*AQ$55,0) + IF(AQ$4&gt;$E77,MIN(AQ77,$I77-SUM($J77:AQ77)))</f>
        <v>3.7309268858703191</v>
      </c>
      <c r="AS77" s="2">
        <f>IF(AR$4=$E77, $I77*AR$55,0) + IF(AR$4&gt;$E77,MIN(AR77,$I77-SUM($J77:AR77)))</f>
        <v>3.7309268858703191</v>
      </c>
      <c r="AT77" s="2">
        <f>IF(AS$4=$E77, $I77*AS$55,0) + IF(AS$4&gt;$E77,MIN(AS77,$I77-SUM($J77:AS77)))</f>
        <v>3.7309268858703191</v>
      </c>
      <c r="AU77" s="2">
        <f>IF(AT$4=$E77, $I77*AT$55,0) + IF(AT$4&gt;$E77,MIN(AT77,$I77-SUM($J77:AT77)))</f>
        <v>3.7309268858703191</v>
      </c>
      <c r="AV77" s="2">
        <f>IF(AU$4=$E77, $I77*AU$55,0) + IF(AU$4&gt;$E77,MIN(AU77,$I77-SUM($J77:AU77)))</f>
        <v>3.7309268858703191</v>
      </c>
      <c r="AW77" s="2"/>
    </row>
    <row r="78" spans="5:49" ht="16" outlineLevel="1">
      <c r="E78" s="44">
        <f>INDEX($K$4:$AV$4,,COUNT(E$65:E77)+1)</f>
        <v>37711</v>
      </c>
      <c r="G78" s="2" t="s">
        <v>101</v>
      </c>
      <c r="I78" s="2">
        <f t="shared" si="62"/>
        <v>131.24376820248207</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3.4537833737495283</v>
      </c>
      <c r="Y78" s="2">
        <f>IF(X$4=$E78, $I78*X$55,0) + IF(X$4&gt;$E78,MIN(X78,$I78-SUM($J78:X78)))</f>
        <v>3.4537833737495283</v>
      </c>
      <c r="Z78" s="2">
        <f>IF(Y$4=$E78, $I78*Y$55,0) + IF(Y$4&gt;$E78,MIN(Y78,$I78-SUM($J78:Y78)))</f>
        <v>3.4537833737495283</v>
      </c>
      <c r="AA78" s="2">
        <f>IF(Z$4=$E78, $I78*Z$55,0) + IF(Z$4&gt;$E78,MIN(Z78,$I78-SUM($J78:Z78)))</f>
        <v>3.4537833737495283</v>
      </c>
      <c r="AB78" s="2">
        <f>IF(AA$4=$E78, $I78*AA$55,0) + IF(AA$4&gt;$E78,MIN(AA78,$I78-SUM($J78:AA78)))</f>
        <v>3.4537833737495283</v>
      </c>
      <c r="AC78" s="2">
        <f>IF(AB$4=$E78, $I78*AB$55,0) + IF(AB$4&gt;$E78,MIN(AB78,$I78-SUM($J78:AB78)))</f>
        <v>3.4537833737495283</v>
      </c>
      <c r="AD78" s="2">
        <f>IF(AC$4=$E78, $I78*AC$55,0) + IF(AC$4&gt;$E78,MIN(AC78,$I78-SUM($J78:AC78)))</f>
        <v>3.4537833737495283</v>
      </c>
      <c r="AE78" s="2">
        <f>IF(AD$4=$E78, $I78*AD$55,0) + IF(AD$4&gt;$E78,MIN(AD78,$I78-SUM($J78:AD78)))</f>
        <v>3.4537833737495283</v>
      </c>
      <c r="AF78" s="2">
        <f>IF(AE$4=$E78, $I78*AE$55,0) + IF(AE$4&gt;$E78,MIN(AE78,$I78-SUM($J78:AE78)))</f>
        <v>3.4537833737495283</v>
      </c>
      <c r="AG78" s="2">
        <f>IF(AF$4=$E78, $I78*AF$55,0) + IF(AF$4&gt;$E78,MIN(AF78,$I78-SUM($J78:AF78)))</f>
        <v>3.4537833737495283</v>
      </c>
      <c r="AH78" s="2">
        <f>IF(AG$4=$E78, $I78*AG$55,0) + IF(AG$4&gt;$E78,MIN(AG78,$I78-SUM($J78:AG78)))</f>
        <v>3.4537833737495283</v>
      </c>
      <c r="AI78" s="2">
        <f>IF(AH$4=$E78, $I78*AH$55,0) + IF(AH$4&gt;$E78,MIN(AH78,$I78-SUM($J78:AH78)))</f>
        <v>3.4537833737495283</v>
      </c>
      <c r="AJ78" s="2">
        <f>IF(AI$4=$E78, $I78*AI$55,0) + IF(AI$4&gt;$E78,MIN(AI78,$I78-SUM($J78:AI78)))</f>
        <v>3.4537833737495283</v>
      </c>
      <c r="AK78" s="2">
        <f>IF(AJ$4=$E78, $I78*AJ$55,0) + IF(AJ$4&gt;$E78,MIN(AJ78,$I78-SUM($J78:AJ78)))</f>
        <v>3.4537833737495283</v>
      </c>
      <c r="AL78" s="2">
        <f>IF(AK$4=$E78, $I78*AK$55,0) + IF(AK$4&gt;$E78,MIN(AK78,$I78-SUM($J78:AK78)))</f>
        <v>3.4537833737495283</v>
      </c>
      <c r="AM78" s="2">
        <f>IF(AL$4=$E78, $I78*AL$55,0) + IF(AL$4&gt;$E78,MIN(AL78,$I78-SUM($J78:AL78)))</f>
        <v>3.4537833737495283</v>
      </c>
      <c r="AN78" s="2">
        <f>IF(AM$4=$E78, $I78*AM$55,0) + IF(AM$4&gt;$E78,MIN(AM78,$I78-SUM($J78:AM78)))</f>
        <v>3.4537833737495283</v>
      </c>
      <c r="AO78" s="2">
        <f>IF(AN$4=$E78, $I78*AN$55,0) + IF(AN$4&gt;$E78,MIN(AN78,$I78-SUM($J78:AN78)))</f>
        <v>3.4537833737495283</v>
      </c>
      <c r="AP78" s="2">
        <f>IF(AO$4=$E78, $I78*AO$55,0) + IF(AO$4&gt;$E78,MIN(AO78,$I78-SUM($J78:AO78)))</f>
        <v>3.4537833737495283</v>
      </c>
      <c r="AQ78" s="57">
        <f>IF(AP$4=$E78, $I78*AP$55,0) + IF(AP$4&gt;$E78,MIN(AP78,$I78-SUM($J78:AP78)))</f>
        <v>3.4537833737495283</v>
      </c>
      <c r="AR78" s="2">
        <f>IF(AQ$4=$E78, $I78*AQ$55,0) + IF(AQ$4&gt;$E78,MIN(AQ78,$I78-SUM($J78:AQ78)))</f>
        <v>3.4537833737495283</v>
      </c>
      <c r="AS78" s="2">
        <f>IF(AR$4=$E78, $I78*AR$55,0) + IF(AR$4&gt;$E78,MIN(AR78,$I78-SUM($J78:AR78)))</f>
        <v>3.4537833737495283</v>
      </c>
      <c r="AT78" s="2">
        <f>IF(AS$4=$E78, $I78*AS$55,0) + IF(AS$4&gt;$E78,MIN(AS78,$I78-SUM($J78:AS78)))</f>
        <v>3.4537833737495283</v>
      </c>
      <c r="AU78" s="2">
        <f>IF(AT$4=$E78, $I78*AT$55,0) + IF(AT$4&gt;$E78,MIN(AT78,$I78-SUM($J78:AT78)))</f>
        <v>3.4537833737495283</v>
      </c>
      <c r="AV78" s="2">
        <f>IF(AU$4=$E78, $I78*AU$55,0) + IF(AU$4&gt;$E78,MIN(AU78,$I78-SUM($J78:AU78)))</f>
        <v>3.4537833737495283</v>
      </c>
      <c r="AW78" s="2"/>
    </row>
    <row r="79" spans="5:49" ht="16" outlineLevel="1">
      <c r="E79" s="44">
        <f>INDEX($K$4:$AV$4,,COUNT(E$65:E78)+1)</f>
        <v>38077</v>
      </c>
      <c r="G79" s="2" t="s">
        <v>101</v>
      </c>
      <c r="I79" s="2">
        <f t="shared" si="62"/>
        <v>131.38557793305023</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3.4575152087644794</v>
      </c>
      <c r="Z79" s="2">
        <f>IF(Y$4=$E79, $I79*Y$55,0) + IF(Y$4&gt;$E79,MIN(Y79,$I79-SUM($J79:Y79)))</f>
        <v>3.4575152087644794</v>
      </c>
      <c r="AA79" s="2">
        <f>IF(Z$4=$E79, $I79*Z$55,0) + IF(Z$4&gt;$E79,MIN(Z79,$I79-SUM($J79:Z79)))</f>
        <v>3.4575152087644794</v>
      </c>
      <c r="AB79" s="2">
        <f>IF(AA$4=$E79, $I79*AA$55,0) + IF(AA$4&gt;$E79,MIN(AA79,$I79-SUM($J79:AA79)))</f>
        <v>3.4575152087644794</v>
      </c>
      <c r="AC79" s="2">
        <f>IF(AB$4=$E79, $I79*AB$55,0) + IF(AB$4&gt;$E79,MIN(AB79,$I79-SUM($J79:AB79)))</f>
        <v>3.4575152087644794</v>
      </c>
      <c r="AD79" s="2">
        <f>IF(AC$4=$E79, $I79*AC$55,0) + IF(AC$4&gt;$E79,MIN(AC79,$I79-SUM($J79:AC79)))</f>
        <v>3.4575152087644794</v>
      </c>
      <c r="AE79" s="2">
        <f>IF(AD$4=$E79, $I79*AD$55,0) + IF(AD$4&gt;$E79,MIN(AD79,$I79-SUM($J79:AD79)))</f>
        <v>3.4575152087644794</v>
      </c>
      <c r="AF79" s="2">
        <f>IF(AE$4=$E79, $I79*AE$55,0) + IF(AE$4&gt;$E79,MIN(AE79,$I79-SUM($J79:AE79)))</f>
        <v>3.4575152087644794</v>
      </c>
      <c r="AG79" s="2">
        <f>IF(AF$4=$E79, $I79*AF$55,0) + IF(AF$4&gt;$E79,MIN(AF79,$I79-SUM($J79:AF79)))</f>
        <v>3.4575152087644794</v>
      </c>
      <c r="AH79" s="2">
        <f>IF(AG$4=$E79, $I79*AG$55,0) + IF(AG$4&gt;$E79,MIN(AG79,$I79-SUM($J79:AG79)))</f>
        <v>3.4575152087644794</v>
      </c>
      <c r="AI79" s="2">
        <f>IF(AH$4=$E79, $I79*AH$55,0) + IF(AH$4&gt;$E79,MIN(AH79,$I79-SUM($J79:AH79)))</f>
        <v>3.4575152087644794</v>
      </c>
      <c r="AJ79" s="2">
        <f>IF(AI$4=$E79, $I79*AI$55,0) + IF(AI$4&gt;$E79,MIN(AI79,$I79-SUM($J79:AI79)))</f>
        <v>3.4575152087644794</v>
      </c>
      <c r="AK79" s="2">
        <f>IF(AJ$4=$E79, $I79*AJ$55,0) + IF(AJ$4&gt;$E79,MIN(AJ79,$I79-SUM($J79:AJ79)))</f>
        <v>3.4575152087644794</v>
      </c>
      <c r="AL79" s="2">
        <f>IF(AK$4=$E79, $I79*AK$55,0) + IF(AK$4&gt;$E79,MIN(AK79,$I79-SUM($J79:AK79)))</f>
        <v>3.4575152087644794</v>
      </c>
      <c r="AM79" s="2">
        <f>IF(AL$4=$E79, $I79*AL$55,0) + IF(AL$4&gt;$E79,MIN(AL79,$I79-SUM($J79:AL79)))</f>
        <v>3.4575152087644794</v>
      </c>
      <c r="AN79" s="2">
        <f>IF(AM$4=$E79, $I79*AM$55,0) + IF(AM$4&gt;$E79,MIN(AM79,$I79-SUM($J79:AM79)))</f>
        <v>3.4575152087644794</v>
      </c>
      <c r="AO79" s="2">
        <f>IF(AN$4=$E79, $I79*AN$55,0) + IF(AN$4&gt;$E79,MIN(AN79,$I79-SUM($J79:AN79)))</f>
        <v>3.4575152087644794</v>
      </c>
      <c r="AP79" s="2">
        <f>IF(AO$4=$E79, $I79*AO$55,0) + IF(AO$4&gt;$E79,MIN(AO79,$I79-SUM($J79:AO79)))</f>
        <v>3.4575152087644794</v>
      </c>
      <c r="AQ79" s="57">
        <f>IF(AP$4=$E79, $I79*AP$55,0) + IF(AP$4&gt;$E79,MIN(AP79,$I79-SUM($J79:AP79)))</f>
        <v>3.4575152087644794</v>
      </c>
      <c r="AR79" s="2">
        <f>IF(AQ$4=$E79, $I79*AQ$55,0) + IF(AQ$4&gt;$E79,MIN(AQ79,$I79-SUM($J79:AQ79)))</f>
        <v>3.4575152087644794</v>
      </c>
      <c r="AS79" s="2">
        <f>IF(AR$4=$E79, $I79*AR$55,0) + IF(AR$4&gt;$E79,MIN(AR79,$I79-SUM($J79:AR79)))</f>
        <v>3.4575152087644794</v>
      </c>
      <c r="AT79" s="2">
        <f>IF(AS$4=$E79, $I79*AS$55,0) + IF(AS$4&gt;$E79,MIN(AS79,$I79-SUM($J79:AS79)))</f>
        <v>3.4575152087644794</v>
      </c>
      <c r="AU79" s="2">
        <f>IF(AT$4=$E79, $I79*AT$55,0) + IF(AT$4&gt;$E79,MIN(AT79,$I79-SUM($J79:AT79)))</f>
        <v>3.4575152087644794</v>
      </c>
      <c r="AV79" s="2">
        <f>IF(AU$4=$E79, $I79*AU$55,0) + IF(AU$4&gt;$E79,MIN(AU79,$I79-SUM($J79:AU79)))</f>
        <v>3.4575152087644794</v>
      </c>
      <c r="AW79" s="2"/>
    </row>
    <row r="80" spans="5:49" ht="16" outlineLevel="1">
      <c r="E80" s="44">
        <f>INDEX($K$4:$AV$4,,COUNT(E$65:E79)+1)</f>
        <v>38442</v>
      </c>
      <c r="G80" s="2" t="s">
        <v>101</v>
      </c>
      <c r="I80" s="2">
        <f t="shared" si="62"/>
        <v>116.38578715518474</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3.0627838725048617</v>
      </c>
      <c r="AA80" s="2">
        <f>IF(Z$4=$E80, $I80*Z$55,0) + IF(Z$4&gt;$E80,MIN(Z80,$I80-SUM($J80:Z80)))</f>
        <v>3.0627838725048617</v>
      </c>
      <c r="AB80" s="2">
        <f>IF(AA$4=$E80, $I80*AA$55,0) + IF(AA$4&gt;$E80,MIN(AA80,$I80-SUM($J80:AA80)))</f>
        <v>3.0627838725048617</v>
      </c>
      <c r="AC80" s="2">
        <f>IF(AB$4=$E80, $I80*AB$55,0) + IF(AB$4&gt;$E80,MIN(AB80,$I80-SUM($J80:AB80)))</f>
        <v>3.0627838725048617</v>
      </c>
      <c r="AD80" s="2">
        <f>IF(AC$4=$E80, $I80*AC$55,0) + IF(AC$4&gt;$E80,MIN(AC80,$I80-SUM($J80:AC80)))</f>
        <v>3.0627838725048617</v>
      </c>
      <c r="AE80" s="2">
        <f>IF(AD$4=$E80, $I80*AD$55,0) + IF(AD$4&gt;$E80,MIN(AD80,$I80-SUM($J80:AD80)))</f>
        <v>3.0627838725048617</v>
      </c>
      <c r="AF80" s="2">
        <f>IF(AE$4=$E80, $I80*AE$55,0) + IF(AE$4&gt;$E80,MIN(AE80,$I80-SUM($J80:AE80)))</f>
        <v>3.0627838725048617</v>
      </c>
      <c r="AG80" s="2">
        <f>IF(AF$4=$E80, $I80*AF$55,0) + IF(AF$4&gt;$E80,MIN(AF80,$I80-SUM($J80:AF80)))</f>
        <v>3.0627838725048617</v>
      </c>
      <c r="AH80" s="2">
        <f>IF(AG$4=$E80, $I80*AG$55,0) + IF(AG$4&gt;$E80,MIN(AG80,$I80-SUM($J80:AG80)))</f>
        <v>3.0627838725048617</v>
      </c>
      <c r="AI80" s="2">
        <f>IF(AH$4=$E80, $I80*AH$55,0) + IF(AH$4&gt;$E80,MIN(AH80,$I80-SUM($J80:AH80)))</f>
        <v>3.0627838725048617</v>
      </c>
      <c r="AJ80" s="2">
        <f>IF(AI$4=$E80, $I80*AI$55,0) + IF(AI$4&gt;$E80,MIN(AI80,$I80-SUM($J80:AI80)))</f>
        <v>3.0627838725048617</v>
      </c>
      <c r="AK80" s="2">
        <f>IF(AJ$4=$E80, $I80*AJ$55,0) + IF(AJ$4&gt;$E80,MIN(AJ80,$I80-SUM($J80:AJ80)))</f>
        <v>3.0627838725048617</v>
      </c>
      <c r="AL80" s="2">
        <f>IF(AK$4=$E80, $I80*AK$55,0) + IF(AK$4&gt;$E80,MIN(AK80,$I80-SUM($J80:AK80)))</f>
        <v>3.0627838725048617</v>
      </c>
      <c r="AM80" s="2">
        <f>IF(AL$4=$E80, $I80*AL$55,0) + IF(AL$4&gt;$E80,MIN(AL80,$I80-SUM($J80:AL80)))</f>
        <v>3.0627838725048617</v>
      </c>
      <c r="AN80" s="2">
        <f>IF(AM$4=$E80, $I80*AM$55,0) + IF(AM$4&gt;$E80,MIN(AM80,$I80-SUM($J80:AM80)))</f>
        <v>3.0627838725048617</v>
      </c>
      <c r="AO80" s="2">
        <f>IF(AN$4=$E80, $I80*AN$55,0) + IF(AN$4&gt;$E80,MIN(AN80,$I80-SUM($J80:AN80)))</f>
        <v>3.0627838725048617</v>
      </c>
      <c r="AP80" s="2">
        <f>IF(AO$4=$E80, $I80*AO$55,0) + IF(AO$4&gt;$E80,MIN(AO80,$I80-SUM($J80:AO80)))</f>
        <v>3.0627838725048617</v>
      </c>
      <c r="AQ80" s="57">
        <f>IF(AP$4=$E80, $I80*AP$55,0) + IF(AP$4&gt;$E80,MIN(AP80,$I80-SUM($J80:AP80)))</f>
        <v>3.0627838725048617</v>
      </c>
      <c r="AR80" s="2">
        <f>IF(AQ$4=$E80, $I80*AQ$55,0) + IF(AQ$4&gt;$E80,MIN(AQ80,$I80-SUM($J80:AQ80)))</f>
        <v>3.0627838725048617</v>
      </c>
      <c r="AS80" s="2">
        <f>IF(AR$4=$E80, $I80*AR$55,0) + IF(AR$4&gt;$E80,MIN(AR80,$I80-SUM($J80:AR80)))</f>
        <v>3.0627838725048617</v>
      </c>
      <c r="AT80" s="2">
        <f>IF(AS$4=$E80, $I80*AS$55,0) + IF(AS$4&gt;$E80,MIN(AS80,$I80-SUM($J80:AS80)))</f>
        <v>3.0627838725048617</v>
      </c>
      <c r="AU80" s="2">
        <f>IF(AT$4=$E80, $I80*AT$55,0) + IF(AT$4&gt;$E80,MIN(AT80,$I80-SUM($J80:AT80)))</f>
        <v>3.0627838725048617</v>
      </c>
      <c r="AV80" s="2">
        <f>IF(AU$4=$E80, $I80*AU$55,0) + IF(AU$4&gt;$E80,MIN(AU80,$I80-SUM($J80:AU80)))</f>
        <v>3.0627838725048617</v>
      </c>
      <c r="AW80" s="2"/>
    </row>
    <row r="81" spans="5:49" ht="16" outlineLevel="1">
      <c r="E81" s="44">
        <f>INDEX($K$4:$AV$4,,COUNT(E$65:E80)+1)</f>
        <v>38807</v>
      </c>
      <c r="G81" s="2" t="s">
        <v>101</v>
      </c>
      <c r="I81" s="2">
        <f t="shared" si="62"/>
        <v>118.21000616407133</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3.1107896358966136</v>
      </c>
      <c r="AB81" s="2">
        <f>IF(AA$4=$E81, $I81*AA$55,0) + IF(AA$4&gt;$E81,MIN(AA81,$I81-SUM($J81:AA81)))</f>
        <v>3.1107896358966136</v>
      </c>
      <c r="AC81" s="2">
        <f>IF(AB$4=$E81, $I81*AB$55,0) + IF(AB$4&gt;$E81,MIN(AB81,$I81-SUM($J81:AB81)))</f>
        <v>3.1107896358966136</v>
      </c>
      <c r="AD81" s="2">
        <f>IF(AC$4=$E81, $I81*AC$55,0) + IF(AC$4&gt;$E81,MIN(AC81,$I81-SUM($J81:AC81)))</f>
        <v>3.1107896358966136</v>
      </c>
      <c r="AE81" s="2">
        <f>IF(AD$4=$E81, $I81*AD$55,0) + IF(AD$4&gt;$E81,MIN(AD81,$I81-SUM($J81:AD81)))</f>
        <v>3.1107896358966136</v>
      </c>
      <c r="AF81" s="2">
        <f>IF(AE$4=$E81, $I81*AE$55,0) + IF(AE$4&gt;$E81,MIN(AE81,$I81-SUM($J81:AE81)))</f>
        <v>3.1107896358966136</v>
      </c>
      <c r="AG81" s="2">
        <f>IF(AF$4=$E81, $I81*AF$55,0) + IF(AF$4&gt;$E81,MIN(AF81,$I81-SUM($J81:AF81)))</f>
        <v>3.1107896358966136</v>
      </c>
      <c r="AH81" s="2">
        <f>IF(AG$4=$E81, $I81*AG$55,0) + IF(AG$4&gt;$E81,MIN(AG81,$I81-SUM($J81:AG81)))</f>
        <v>3.1107896358966136</v>
      </c>
      <c r="AI81" s="2">
        <f>IF(AH$4=$E81, $I81*AH$55,0) + IF(AH$4&gt;$E81,MIN(AH81,$I81-SUM($J81:AH81)))</f>
        <v>3.1107896358966136</v>
      </c>
      <c r="AJ81" s="2">
        <f>IF(AI$4=$E81, $I81*AI$55,0) + IF(AI$4&gt;$E81,MIN(AI81,$I81-SUM($J81:AI81)))</f>
        <v>3.1107896358966136</v>
      </c>
      <c r="AK81" s="2">
        <f>IF(AJ$4=$E81, $I81*AJ$55,0) + IF(AJ$4&gt;$E81,MIN(AJ81,$I81-SUM($J81:AJ81)))</f>
        <v>3.1107896358966136</v>
      </c>
      <c r="AL81" s="2">
        <f>IF(AK$4=$E81, $I81*AK$55,0) + IF(AK$4&gt;$E81,MIN(AK81,$I81-SUM($J81:AK81)))</f>
        <v>3.1107896358966136</v>
      </c>
      <c r="AM81" s="2">
        <f>IF(AL$4=$E81, $I81*AL$55,0) + IF(AL$4&gt;$E81,MIN(AL81,$I81-SUM($J81:AL81)))</f>
        <v>3.1107896358966136</v>
      </c>
      <c r="AN81" s="2">
        <f>IF(AM$4=$E81, $I81*AM$55,0) + IF(AM$4&gt;$E81,MIN(AM81,$I81-SUM($J81:AM81)))</f>
        <v>3.1107896358966136</v>
      </c>
      <c r="AO81" s="2">
        <f>IF(AN$4=$E81, $I81*AN$55,0) + IF(AN$4&gt;$E81,MIN(AN81,$I81-SUM($J81:AN81)))</f>
        <v>3.1107896358966136</v>
      </c>
      <c r="AP81" s="2">
        <f>IF(AO$4=$E81, $I81*AO$55,0) + IF(AO$4&gt;$E81,MIN(AO81,$I81-SUM($J81:AO81)))</f>
        <v>3.1107896358966136</v>
      </c>
      <c r="AQ81" s="57">
        <f>IF(AP$4=$E81, $I81*AP$55,0) + IF(AP$4&gt;$E81,MIN(AP81,$I81-SUM($J81:AP81)))</f>
        <v>3.1107896358966136</v>
      </c>
      <c r="AR81" s="2">
        <f>IF(AQ$4=$E81, $I81*AQ$55,0) + IF(AQ$4&gt;$E81,MIN(AQ81,$I81-SUM($J81:AQ81)))</f>
        <v>3.1107896358966136</v>
      </c>
      <c r="AS81" s="2">
        <f>IF(AR$4=$E81, $I81*AR$55,0) + IF(AR$4&gt;$E81,MIN(AR81,$I81-SUM($J81:AR81)))</f>
        <v>3.1107896358966136</v>
      </c>
      <c r="AT81" s="2">
        <f>IF(AS$4=$E81, $I81*AS$55,0) + IF(AS$4&gt;$E81,MIN(AS81,$I81-SUM($J81:AS81)))</f>
        <v>3.1107896358966136</v>
      </c>
      <c r="AU81" s="2">
        <f>IF(AT$4=$E81, $I81*AT$55,0) + IF(AT$4&gt;$E81,MIN(AT81,$I81-SUM($J81:AT81)))</f>
        <v>3.1107896358966136</v>
      </c>
      <c r="AV81" s="2">
        <f>IF(AU$4=$E81, $I81*AU$55,0) + IF(AU$4&gt;$E81,MIN(AU81,$I81-SUM($J81:AU81)))</f>
        <v>3.1107896358966136</v>
      </c>
      <c r="AW81" s="2"/>
    </row>
    <row r="82" spans="5:49" ht="16" outlineLevel="1">
      <c r="E82" s="44">
        <f>INDEX($K$4:$AV$4,,COUNT(E$65:E81)+1)</f>
        <v>39172</v>
      </c>
      <c r="G82" s="2" t="s">
        <v>101</v>
      </c>
      <c r="I82" s="2">
        <f t="shared" si="62"/>
        <v>133.78107433545651</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3.5205545877751709</v>
      </c>
      <c r="AC82" s="2">
        <f>IF(AB$4=$E82, $I82*AB$55,0) + IF(AB$4&gt;$E82,MIN(AB82,$I82-SUM($J82:AB82)))</f>
        <v>3.5205545877751709</v>
      </c>
      <c r="AD82" s="2">
        <f>IF(AC$4=$E82, $I82*AC$55,0) + IF(AC$4&gt;$E82,MIN(AC82,$I82-SUM($J82:AC82)))</f>
        <v>3.5205545877751709</v>
      </c>
      <c r="AE82" s="2">
        <f>IF(AD$4=$E82, $I82*AD$55,0) + IF(AD$4&gt;$E82,MIN(AD82,$I82-SUM($J82:AD82)))</f>
        <v>3.5205545877751709</v>
      </c>
      <c r="AF82" s="2">
        <f>IF(AE$4=$E82, $I82*AE$55,0) + IF(AE$4&gt;$E82,MIN(AE82,$I82-SUM($J82:AE82)))</f>
        <v>3.5205545877751709</v>
      </c>
      <c r="AG82" s="2">
        <f>IF(AF$4=$E82, $I82*AF$55,0) + IF(AF$4&gt;$E82,MIN(AF82,$I82-SUM($J82:AF82)))</f>
        <v>3.5205545877751709</v>
      </c>
      <c r="AH82" s="2">
        <f>IF(AG$4=$E82, $I82*AG$55,0) + IF(AG$4&gt;$E82,MIN(AG82,$I82-SUM($J82:AG82)))</f>
        <v>3.5205545877751709</v>
      </c>
      <c r="AI82" s="2">
        <f>IF(AH$4=$E82, $I82*AH$55,0) + IF(AH$4&gt;$E82,MIN(AH82,$I82-SUM($J82:AH82)))</f>
        <v>3.5205545877751709</v>
      </c>
      <c r="AJ82" s="2">
        <f>IF(AI$4=$E82, $I82*AI$55,0) + IF(AI$4&gt;$E82,MIN(AI82,$I82-SUM($J82:AI82)))</f>
        <v>3.5205545877751709</v>
      </c>
      <c r="AK82" s="2">
        <f>IF(AJ$4=$E82, $I82*AJ$55,0) + IF(AJ$4&gt;$E82,MIN(AJ82,$I82-SUM($J82:AJ82)))</f>
        <v>3.5205545877751709</v>
      </c>
      <c r="AL82" s="2">
        <f>IF(AK$4=$E82, $I82*AK$55,0) + IF(AK$4&gt;$E82,MIN(AK82,$I82-SUM($J82:AK82)))</f>
        <v>3.5205545877751709</v>
      </c>
      <c r="AM82" s="2">
        <f>IF(AL$4=$E82, $I82*AL$55,0) + IF(AL$4&gt;$E82,MIN(AL82,$I82-SUM($J82:AL82)))</f>
        <v>3.5205545877751709</v>
      </c>
      <c r="AN82" s="2">
        <f>IF(AM$4=$E82, $I82*AM$55,0) + IF(AM$4&gt;$E82,MIN(AM82,$I82-SUM($J82:AM82)))</f>
        <v>3.5205545877751709</v>
      </c>
      <c r="AO82" s="2">
        <f>IF(AN$4=$E82, $I82*AN$55,0) + IF(AN$4&gt;$E82,MIN(AN82,$I82-SUM($J82:AN82)))</f>
        <v>3.5205545877751709</v>
      </c>
      <c r="AP82" s="2">
        <f>IF(AO$4=$E82, $I82*AO$55,0) + IF(AO$4&gt;$E82,MIN(AO82,$I82-SUM($J82:AO82)))</f>
        <v>3.5205545877751709</v>
      </c>
      <c r="AQ82" s="57">
        <f>IF(AP$4=$E82, $I82*AP$55,0) + IF(AP$4&gt;$E82,MIN(AP82,$I82-SUM($J82:AP82)))</f>
        <v>3.5205545877751709</v>
      </c>
      <c r="AR82" s="2">
        <f>IF(AQ$4=$E82, $I82*AQ$55,0) + IF(AQ$4&gt;$E82,MIN(AQ82,$I82-SUM($J82:AQ82)))</f>
        <v>3.5205545877751709</v>
      </c>
      <c r="AS82" s="2">
        <f>IF(AR$4=$E82, $I82*AR$55,0) + IF(AR$4&gt;$E82,MIN(AR82,$I82-SUM($J82:AR82)))</f>
        <v>3.5205545877751709</v>
      </c>
      <c r="AT82" s="2">
        <f>IF(AS$4=$E82, $I82*AS$55,0) + IF(AS$4&gt;$E82,MIN(AS82,$I82-SUM($J82:AS82)))</f>
        <v>3.5205545877751709</v>
      </c>
      <c r="AU82" s="2">
        <f>IF(AT$4=$E82, $I82*AT$55,0) + IF(AT$4&gt;$E82,MIN(AT82,$I82-SUM($J82:AT82)))</f>
        <v>3.5205545877751709</v>
      </c>
      <c r="AV82" s="2">
        <f>IF(AU$4=$E82, $I82*AU$55,0) + IF(AU$4&gt;$E82,MIN(AU82,$I82-SUM($J82:AU82)))</f>
        <v>3.5205545877751709</v>
      </c>
      <c r="AW82" s="2"/>
    </row>
    <row r="83" spans="5:49" ht="16" outlineLevel="1">
      <c r="E83" s="44">
        <f>INDEX($K$4:$AV$4,,COUNT(E$65:E82)+1)</f>
        <v>39538</v>
      </c>
      <c r="G83" s="2" t="s">
        <v>101</v>
      </c>
      <c r="I83" s="2">
        <f t="shared" si="62"/>
        <v>144.83278417437833</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3.8113890572204823</v>
      </c>
      <c r="AD83" s="2">
        <f>IF(AC$4=$E83, $I83*AC$55,0) + IF(AC$4&gt;$E83,MIN(AC83,$I83-SUM($J83:AC83)))</f>
        <v>3.8113890572204823</v>
      </c>
      <c r="AE83" s="2">
        <f>IF(AD$4=$E83, $I83*AD$55,0) + IF(AD$4&gt;$E83,MIN(AD83,$I83-SUM($J83:AD83)))</f>
        <v>3.8113890572204823</v>
      </c>
      <c r="AF83" s="2">
        <f>IF(AE$4=$E83, $I83*AE$55,0) + IF(AE$4&gt;$E83,MIN(AE83,$I83-SUM($J83:AE83)))</f>
        <v>3.8113890572204823</v>
      </c>
      <c r="AG83" s="2">
        <f>IF(AF$4=$E83, $I83*AF$55,0) + IF(AF$4&gt;$E83,MIN(AF83,$I83-SUM($J83:AF83)))</f>
        <v>3.8113890572204823</v>
      </c>
      <c r="AH83" s="2">
        <f>IF(AG$4=$E83, $I83*AG$55,0) + IF(AG$4&gt;$E83,MIN(AG83,$I83-SUM($J83:AG83)))</f>
        <v>3.8113890572204823</v>
      </c>
      <c r="AI83" s="2">
        <f>IF(AH$4=$E83, $I83*AH$55,0) + IF(AH$4&gt;$E83,MIN(AH83,$I83-SUM($J83:AH83)))</f>
        <v>3.8113890572204823</v>
      </c>
      <c r="AJ83" s="2">
        <f>IF(AI$4=$E83, $I83*AI$55,0) + IF(AI$4&gt;$E83,MIN(AI83,$I83-SUM($J83:AI83)))</f>
        <v>3.8113890572204823</v>
      </c>
      <c r="AK83" s="2">
        <f>IF(AJ$4=$E83, $I83*AJ$55,0) + IF(AJ$4&gt;$E83,MIN(AJ83,$I83-SUM($J83:AJ83)))</f>
        <v>3.8113890572204823</v>
      </c>
      <c r="AL83" s="2">
        <f>IF(AK$4=$E83, $I83*AK$55,0) + IF(AK$4&gt;$E83,MIN(AK83,$I83-SUM($J83:AK83)))</f>
        <v>3.8113890572204823</v>
      </c>
      <c r="AM83" s="2">
        <f>IF(AL$4=$E83, $I83*AL$55,0) + IF(AL$4&gt;$E83,MIN(AL83,$I83-SUM($J83:AL83)))</f>
        <v>3.8113890572204823</v>
      </c>
      <c r="AN83" s="2">
        <f>IF(AM$4=$E83, $I83*AM$55,0) + IF(AM$4&gt;$E83,MIN(AM83,$I83-SUM($J83:AM83)))</f>
        <v>3.8113890572204823</v>
      </c>
      <c r="AO83" s="2">
        <f>IF(AN$4=$E83, $I83*AN$55,0) + IF(AN$4&gt;$E83,MIN(AN83,$I83-SUM($J83:AN83)))</f>
        <v>3.8113890572204823</v>
      </c>
      <c r="AP83" s="2">
        <f>IF(AO$4=$E83, $I83*AO$55,0) + IF(AO$4&gt;$E83,MIN(AO83,$I83-SUM($J83:AO83)))</f>
        <v>3.8113890572204823</v>
      </c>
      <c r="AQ83" s="57">
        <f>IF(AP$4=$E83, $I83*AP$55,0) + IF(AP$4&gt;$E83,MIN(AP83,$I83-SUM($J83:AP83)))</f>
        <v>3.8113890572204823</v>
      </c>
      <c r="AR83" s="2">
        <f>IF(AQ$4=$E83, $I83*AQ$55,0) + IF(AQ$4&gt;$E83,MIN(AQ83,$I83-SUM($J83:AQ83)))</f>
        <v>3.8113890572204823</v>
      </c>
      <c r="AS83" s="2">
        <f>IF(AR$4=$E83, $I83*AR$55,0) + IF(AR$4&gt;$E83,MIN(AR83,$I83-SUM($J83:AR83)))</f>
        <v>3.8113890572204823</v>
      </c>
      <c r="AT83" s="2">
        <f>IF(AS$4=$E83, $I83*AS$55,0) + IF(AS$4&gt;$E83,MIN(AS83,$I83-SUM($J83:AS83)))</f>
        <v>3.8113890572204823</v>
      </c>
      <c r="AU83" s="2">
        <f>IF(AT$4=$E83, $I83*AT$55,0) + IF(AT$4&gt;$E83,MIN(AT83,$I83-SUM($J83:AT83)))</f>
        <v>3.8113890572204823</v>
      </c>
      <c r="AV83" s="2">
        <f>IF(AU$4=$E83, $I83*AU$55,0) + IF(AU$4&gt;$E83,MIN(AU83,$I83-SUM($J83:AU83)))</f>
        <v>3.8113890572204823</v>
      </c>
      <c r="AW83" s="2"/>
    </row>
    <row r="84" spans="5:49" ht="16" outlineLevel="1">
      <c r="E84" s="44">
        <f>INDEX($K$4:$AV$4,,COUNT(E$65:E83)+1)</f>
        <v>39903</v>
      </c>
      <c r="G84" s="2" t="s">
        <v>101</v>
      </c>
      <c r="I84" s="2">
        <f t="shared" si="62"/>
        <v>142.02723675021343</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3.7375588618477216</v>
      </c>
      <c r="AE84" s="2">
        <f>IF(AD$4=$E84, $I84*AD$55,0) + IF(AD$4&gt;$E84,MIN(AD84,$I84-SUM($J84:AD84)))</f>
        <v>3.7375588618477216</v>
      </c>
      <c r="AF84" s="2">
        <f>IF(AE$4=$E84, $I84*AE$55,0) + IF(AE$4&gt;$E84,MIN(AE84,$I84-SUM($J84:AE84)))</f>
        <v>3.7375588618477216</v>
      </c>
      <c r="AG84" s="2">
        <f>IF(AF$4=$E84, $I84*AF$55,0) + IF(AF$4&gt;$E84,MIN(AF84,$I84-SUM($J84:AF84)))</f>
        <v>3.7375588618477216</v>
      </c>
      <c r="AH84" s="2">
        <f>IF(AG$4=$E84, $I84*AG$55,0) + IF(AG$4&gt;$E84,MIN(AG84,$I84-SUM($J84:AG84)))</f>
        <v>3.7375588618477216</v>
      </c>
      <c r="AI84" s="2">
        <f>IF(AH$4=$E84, $I84*AH$55,0) + IF(AH$4&gt;$E84,MIN(AH84,$I84-SUM($J84:AH84)))</f>
        <v>3.7375588618477216</v>
      </c>
      <c r="AJ84" s="2">
        <f>IF(AI$4=$E84, $I84*AI$55,0) + IF(AI$4&gt;$E84,MIN(AI84,$I84-SUM($J84:AI84)))</f>
        <v>3.7375588618477216</v>
      </c>
      <c r="AK84" s="2">
        <f>IF(AJ$4=$E84, $I84*AJ$55,0) + IF(AJ$4&gt;$E84,MIN(AJ84,$I84-SUM($J84:AJ84)))</f>
        <v>3.7375588618477216</v>
      </c>
      <c r="AL84" s="2">
        <f>IF(AK$4=$E84, $I84*AK$55,0) + IF(AK$4&gt;$E84,MIN(AK84,$I84-SUM($J84:AK84)))</f>
        <v>3.7375588618477216</v>
      </c>
      <c r="AM84" s="2">
        <f>IF(AL$4=$E84, $I84*AL$55,0) + IF(AL$4&gt;$E84,MIN(AL84,$I84-SUM($J84:AL84)))</f>
        <v>3.7375588618477216</v>
      </c>
      <c r="AN84" s="2">
        <f>IF(AM$4=$E84, $I84*AM$55,0) + IF(AM$4&gt;$E84,MIN(AM84,$I84-SUM($J84:AM84)))</f>
        <v>3.7375588618477216</v>
      </c>
      <c r="AO84" s="2">
        <f>IF(AN$4=$E84, $I84*AN$55,0) + IF(AN$4&gt;$E84,MIN(AN84,$I84-SUM($J84:AN84)))</f>
        <v>3.7375588618477216</v>
      </c>
      <c r="AP84" s="2">
        <f>IF(AO$4=$E84, $I84*AO$55,0) + IF(AO$4&gt;$E84,MIN(AO84,$I84-SUM($J84:AO84)))</f>
        <v>3.7375588618477216</v>
      </c>
      <c r="AQ84" s="57">
        <f>IF(AP$4=$E84, $I84*AP$55,0) + IF(AP$4&gt;$E84,MIN(AP84,$I84-SUM($J84:AP84)))</f>
        <v>3.7375588618477216</v>
      </c>
      <c r="AR84" s="2">
        <f>IF(AQ$4=$E84, $I84*AQ$55,0) + IF(AQ$4&gt;$E84,MIN(AQ84,$I84-SUM($J84:AQ84)))</f>
        <v>3.7375588618477216</v>
      </c>
      <c r="AS84" s="2">
        <f>IF(AR$4=$E84, $I84*AR$55,0) + IF(AR$4&gt;$E84,MIN(AR84,$I84-SUM($J84:AR84)))</f>
        <v>3.7375588618477216</v>
      </c>
      <c r="AT84" s="2">
        <f>IF(AS$4=$E84, $I84*AS$55,0) + IF(AS$4&gt;$E84,MIN(AS84,$I84-SUM($J84:AS84)))</f>
        <v>3.7375588618477216</v>
      </c>
      <c r="AU84" s="2">
        <f>IF(AT$4=$E84, $I84*AT$55,0) + IF(AT$4&gt;$E84,MIN(AT84,$I84-SUM($J84:AT84)))</f>
        <v>3.7375588618477216</v>
      </c>
      <c r="AV84" s="2">
        <f>IF(AU$4=$E84, $I84*AU$55,0) + IF(AU$4&gt;$E84,MIN(AU84,$I84-SUM($J84:AU84)))</f>
        <v>3.7375588618477216</v>
      </c>
      <c r="AW84" s="2"/>
    </row>
    <row r="85" spans="5:49" ht="16" outlineLevel="1">
      <c r="E85" s="44">
        <f>INDEX($K$4:$AV$4,,COUNT(E$65:E84)+1)</f>
        <v>40268</v>
      </c>
      <c r="G85" s="2" t="s">
        <v>101</v>
      </c>
      <c r="I85" s="2">
        <f t="shared" si="62"/>
        <v>117.78128364610983</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3.0995074643713112</v>
      </c>
      <c r="AF85" s="2">
        <f>IF(AE$4=$E85, $I85*AE$55,0) + IF(AE$4&gt;$E85,MIN(AE85,$I85-SUM($J85:AE85)))</f>
        <v>3.0995074643713112</v>
      </c>
      <c r="AG85" s="2">
        <f>IF(AF$4=$E85, $I85*AF$55,0) + IF(AF$4&gt;$E85,MIN(AF85,$I85-SUM($J85:AF85)))</f>
        <v>3.0995074643713112</v>
      </c>
      <c r="AH85" s="2">
        <f>IF(AG$4=$E85, $I85*AG$55,0) + IF(AG$4&gt;$E85,MIN(AG85,$I85-SUM($J85:AG85)))</f>
        <v>3.0995074643713112</v>
      </c>
      <c r="AI85" s="2">
        <f>IF(AH$4=$E85, $I85*AH$55,0) + IF(AH$4&gt;$E85,MIN(AH85,$I85-SUM($J85:AH85)))</f>
        <v>3.0995074643713112</v>
      </c>
      <c r="AJ85" s="2">
        <f>IF(AI$4=$E85, $I85*AI$55,0) + IF(AI$4&gt;$E85,MIN(AI85,$I85-SUM($J85:AI85)))</f>
        <v>3.0995074643713112</v>
      </c>
      <c r="AK85" s="2">
        <f>IF(AJ$4=$E85, $I85*AJ$55,0) + IF(AJ$4&gt;$E85,MIN(AJ85,$I85-SUM($J85:AJ85)))</f>
        <v>3.0995074643713112</v>
      </c>
      <c r="AL85" s="2">
        <f>IF(AK$4=$E85, $I85*AK$55,0) + IF(AK$4&gt;$E85,MIN(AK85,$I85-SUM($J85:AK85)))</f>
        <v>3.0995074643713112</v>
      </c>
      <c r="AM85" s="2">
        <f>IF(AL$4=$E85, $I85*AL$55,0) + IF(AL$4&gt;$E85,MIN(AL85,$I85-SUM($J85:AL85)))</f>
        <v>3.0995074643713112</v>
      </c>
      <c r="AN85" s="2">
        <f>IF(AM$4=$E85, $I85*AM$55,0) + IF(AM$4&gt;$E85,MIN(AM85,$I85-SUM($J85:AM85)))</f>
        <v>3.0995074643713112</v>
      </c>
      <c r="AO85" s="2">
        <f>IF(AN$4=$E85, $I85*AN$55,0) + IF(AN$4&gt;$E85,MIN(AN85,$I85-SUM($J85:AN85)))</f>
        <v>3.0995074643713112</v>
      </c>
      <c r="AP85" s="2">
        <f>IF(AO$4=$E85, $I85*AO$55,0) + IF(AO$4&gt;$E85,MIN(AO85,$I85-SUM($J85:AO85)))</f>
        <v>3.0995074643713112</v>
      </c>
      <c r="AQ85" s="57">
        <f>IF(AP$4=$E85, $I85*AP$55,0) + IF(AP$4&gt;$E85,MIN(AP85,$I85-SUM($J85:AP85)))</f>
        <v>3.0995074643713112</v>
      </c>
      <c r="AR85" s="2">
        <f>IF(AQ$4=$E85, $I85*AQ$55,0) + IF(AQ$4&gt;$E85,MIN(AQ85,$I85-SUM($J85:AQ85)))</f>
        <v>3.0995074643713112</v>
      </c>
      <c r="AS85" s="2">
        <f>IF(AR$4=$E85, $I85*AR$55,0) + IF(AR$4&gt;$E85,MIN(AR85,$I85-SUM($J85:AR85)))</f>
        <v>3.0995074643713112</v>
      </c>
      <c r="AT85" s="2">
        <f>IF(AS$4=$E85, $I85*AS$55,0) + IF(AS$4&gt;$E85,MIN(AS85,$I85-SUM($J85:AS85)))</f>
        <v>3.0995074643713112</v>
      </c>
      <c r="AU85" s="2">
        <f>IF(AT$4=$E85, $I85*AT$55,0) + IF(AT$4&gt;$E85,MIN(AT85,$I85-SUM($J85:AT85)))</f>
        <v>3.0995074643713112</v>
      </c>
      <c r="AV85" s="2">
        <f>IF(AU$4=$E85, $I85*AU$55,0) + IF(AU$4&gt;$E85,MIN(AU85,$I85-SUM($J85:AU85)))</f>
        <v>3.0995074643713112</v>
      </c>
      <c r="AW85" s="2"/>
    </row>
    <row r="86" spans="5:49" ht="16" outlineLevel="1">
      <c r="E86" s="44">
        <f>INDEX($K$4:$AV$4,,COUNT(E$65:E85)+1)</f>
        <v>40633</v>
      </c>
      <c r="G86" s="2" t="s">
        <v>101</v>
      </c>
      <c r="I86" s="2">
        <f t="shared" si="62"/>
        <v>146.45264432823487</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3.8540169560061805</v>
      </c>
      <c r="AG86" s="2">
        <f>IF(AF$4=$E86, $I86*AF$55,0) + IF(AF$4&gt;$E86,MIN(AF86,$I86-SUM($J86:AF86)))</f>
        <v>3.8540169560061805</v>
      </c>
      <c r="AH86" s="2">
        <f>IF(AG$4=$E86, $I86*AG$55,0) + IF(AG$4&gt;$E86,MIN(AG86,$I86-SUM($J86:AG86)))</f>
        <v>3.8540169560061805</v>
      </c>
      <c r="AI86" s="2">
        <f>IF(AH$4=$E86, $I86*AH$55,0) + IF(AH$4&gt;$E86,MIN(AH86,$I86-SUM($J86:AH86)))</f>
        <v>3.8540169560061805</v>
      </c>
      <c r="AJ86" s="2">
        <f>IF(AI$4=$E86, $I86*AI$55,0) + IF(AI$4&gt;$E86,MIN(AI86,$I86-SUM($J86:AI86)))</f>
        <v>3.8540169560061805</v>
      </c>
      <c r="AK86" s="2">
        <f>IF(AJ$4=$E86, $I86*AJ$55,0) + IF(AJ$4&gt;$E86,MIN(AJ86,$I86-SUM($J86:AJ86)))</f>
        <v>3.8540169560061805</v>
      </c>
      <c r="AL86" s="2">
        <f>IF(AK$4=$E86, $I86*AK$55,0) + IF(AK$4&gt;$E86,MIN(AK86,$I86-SUM($J86:AK86)))</f>
        <v>3.8540169560061805</v>
      </c>
      <c r="AM86" s="2">
        <f>IF(AL$4=$E86, $I86*AL$55,0) + IF(AL$4&gt;$E86,MIN(AL86,$I86-SUM($J86:AL86)))</f>
        <v>3.8540169560061805</v>
      </c>
      <c r="AN86" s="2">
        <f>IF(AM$4=$E86, $I86*AM$55,0) + IF(AM$4&gt;$E86,MIN(AM86,$I86-SUM($J86:AM86)))</f>
        <v>3.8540169560061805</v>
      </c>
      <c r="AO86" s="2">
        <f>IF(AN$4=$E86, $I86*AN$55,0) + IF(AN$4&gt;$E86,MIN(AN86,$I86-SUM($J86:AN86)))</f>
        <v>3.8540169560061805</v>
      </c>
      <c r="AP86" s="2">
        <f>IF(AO$4=$E86, $I86*AO$55,0) + IF(AO$4&gt;$E86,MIN(AO86,$I86-SUM($J86:AO86)))</f>
        <v>3.8540169560061805</v>
      </c>
      <c r="AQ86" s="57">
        <f>IF(AP$4=$E86, $I86*AP$55,0) + IF(AP$4&gt;$E86,MIN(AP86,$I86-SUM($J86:AP86)))</f>
        <v>3.8540169560061805</v>
      </c>
      <c r="AR86" s="2">
        <f>IF(AQ$4=$E86, $I86*AQ$55,0) + IF(AQ$4&gt;$E86,MIN(AQ86,$I86-SUM($J86:AQ86)))</f>
        <v>3.8540169560061805</v>
      </c>
      <c r="AS86" s="2">
        <f>IF(AR$4=$E86, $I86*AR$55,0) + IF(AR$4&gt;$E86,MIN(AR86,$I86-SUM($J86:AR86)))</f>
        <v>3.8540169560061805</v>
      </c>
      <c r="AT86" s="2">
        <f>IF(AS$4=$E86, $I86*AS$55,0) + IF(AS$4&gt;$E86,MIN(AS86,$I86-SUM($J86:AS86)))</f>
        <v>3.8540169560061805</v>
      </c>
      <c r="AU86" s="2">
        <f>IF(AT$4=$E86, $I86*AT$55,0) + IF(AT$4&gt;$E86,MIN(AT86,$I86-SUM($J86:AT86)))</f>
        <v>3.8540169560061805</v>
      </c>
      <c r="AV86" s="2">
        <f>IF(AU$4=$E86, $I86*AU$55,0) + IF(AU$4&gt;$E86,MIN(AU86,$I86-SUM($J86:AU86)))</f>
        <v>3.8540169560061805</v>
      </c>
      <c r="AW86" s="2"/>
    </row>
    <row r="87" spans="5:49" ht="16" outlineLevel="1">
      <c r="E87" s="44">
        <f>INDEX($K$4:$AV$4,,COUNT(E$65:E86)+1)</f>
        <v>40999</v>
      </c>
      <c r="G87" s="2" t="s">
        <v>101</v>
      </c>
      <c r="I87" s="2">
        <f t="shared" si="62"/>
        <v>160.98914503286744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4.2365564482333538</v>
      </c>
      <c r="AH87" s="2">
        <f>IF(AG$4=$E87, $I87*AG$55,0) + IF(AG$4&gt;$E87,MIN(AG87,$I87-SUM($J87:AG87)))</f>
        <v>4.2365564482333538</v>
      </c>
      <c r="AI87" s="2">
        <f>IF(AH$4=$E87, $I87*AH$55,0) + IF(AH$4&gt;$E87,MIN(AH87,$I87-SUM($J87:AH87)))</f>
        <v>4.2365564482333538</v>
      </c>
      <c r="AJ87" s="2">
        <f>IF(AI$4=$E87, $I87*AI$55,0) + IF(AI$4&gt;$E87,MIN(AI87,$I87-SUM($J87:AI87)))</f>
        <v>4.2365564482333538</v>
      </c>
      <c r="AK87" s="2">
        <f>IF(AJ$4=$E87, $I87*AJ$55,0) + IF(AJ$4&gt;$E87,MIN(AJ87,$I87-SUM($J87:AJ87)))</f>
        <v>4.2365564482333538</v>
      </c>
      <c r="AL87" s="2">
        <f>IF(AK$4=$E87, $I87*AK$55,0) + IF(AK$4&gt;$E87,MIN(AK87,$I87-SUM($J87:AK87)))</f>
        <v>4.2365564482333538</v>
      </c>
      <c r="AM87" s="2">
        <f>IF(AL$4=$E87, $I87*AL$55,0) + IF(AL$4&gt;$E87,MIN(AL87,$I87-SUM($J87:AL87)))</f>
        <v>4.2365564482333538</v>
      </c>
      <c r="AN87" s="2">
        <f>IF(AM$4=$E87, $I87*AM$55,0) + IF(AM$4&gt;$E87,MIN(AM87,$I87-SUM($J87:AM87)))</f>
        <v>4.2365564482333538</v>
      </c>
      <c r="AO87" s="2">
        <f>IF(AN$4=$E87, $I87*AN$55,0) + IF(AN$4&gt;$E87,MIN(AN87,$I87-SUM($J87:AN87)))</f>
        <v>4.2365564482333538</v>
      </c>
      <c r="AP87" s="2">
        <f>IF(AO$4=$E87, $I87*AO$55,0) + IF(AO$4&gt;$E87,MIN(AO87,$I87-SUM($J87:AO87)))</f>
        <v>4.2365564482333538</v>
      </c>
      <c r="AQ87" s="57">
        <f>IF(AP$4=$E87, $I87*AP$55,0) + IF(AP$4&gt;$E87,MIN(AP87,$I87-SUM($J87:AP87)))</f>
        <v>4.2365564482333538</v>
      </c>
      <c r="AR87" s="2">
        <f>IF(AQ$4=$E87, $I87*AQ$55,0) + IF(AQ$4&gt;$E87,MIN(AQ87,$I87-SUM($J87:AQ87)))</f>
        <v>4.2365564482333538</v>
      </c>
      <c r="AS87" s="2">
        <f>IF(AR$4=$E87, $I87*AR$55,0) + IF(AR$4&gt;$E87,MIN(AR87,$I87-SUM($J87:AR87)))</f>
        <v>4.2365564482333538</v>
      </c>
      <c r="AT87" s="2">
        <f>IF(AS$4=$E87, $I87*AS$55,0) + IF(AS$4&gt;$E87,MIN(AS87,$I87-SUM($J87:AS87)))</f>
        <v>4.2365564482333538</v>
      </c>
      <c r="AU87" s="2">
        <f>IF(AT$4=$E87, $I87*AT$55,0) + IF(AT$4&gt;$E87,MIN(AT87,$I87-SUM($J87:AT87)))</f>
        <v>4.2365564482333538</v>
      </c>
      <c r="AV87" s="2">
        <f>IF(AU$4=$E87, $I87*AU$55,0) + IF(AU$4&gt;$E87,MIN(AU87,$I87-SUM($J87:AU87)))</f>
        <v>4.2365564482333538</v>
      </c>
      <c r="AW87" s="2"/>
    </row>
    <row r="88" spans="5:49" ht="16" outlineLevel="1">
      <c r="E88" s="44">
        <f>INDEX($K$4:$AV$4,,COUNT(E$65:E87)+1)</f>
        <v>41364</v>
      </c>
      <c r="G88" s="2" t="s">
        <v>101</v>
      </c>
      <c r="I88" s="2">
        <f t="shared" si="62"/>
        <v>155.78448247749279</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4.0995916441445468</v>
      </c>
      <c r="AI88" s="2">
        <f>IF(AH$4=$E88, $I88*AH$55,0) + IF(AH$4&gt;$E88,MIN(AH88,$I88-SUM($J88:AH88)))</f>
        <v>4.0995916441445468</v>
      </c>
      <c r="AJ88" s="2">
        <f>IF(AI$4=$E88, $I88*AI$55,0) + IF(AI$4&gt;$E88,MIN(AI88,$I88-SUM($J88:AI88)))</f>
        <v>4.0995916441445468</v>
      </c>
      <c r="AK88" s="2">
        <f>IF(AJ$4=$E88, $I88*AJ$55,0) + IF(AJ$4&gt;$E88,MIN(AJ88,$I88-SUM($J88:AJ88)))</f>
        <v>4.0995916441445468</v>
      </c>
      <c r="AL88" s="2">
        <f>IF(AK$4=$E88, $I88*AK$55,0) + IF(AK$4&gt;$E88,MIN(AK88,$I88-SUM($J88:AK88)))</f>
        <v>4.0995916441445468</v>
      </c>
      <c r="AM88" s="2">
        <f>IF(AL$4=$E88, $I88*AL$55,0) + IF(AL$4&gt;$E88,MIN(AL88,$I88-SUM($J88:AL88)))</f>
        <v>4.0995916441445468</v>
      </c>
      <c r="AN88" s="2">
        <f>IF(AM$4=$E88, $I88*AM$55,0) + IF(AM$4&gt;$E88,MIN(AM88,$I88-SUM($J88:AM88)))</f>
        <v>4.0995916441445468</v>
      </c>
      <c r="AO88" s="2">
        <f>IF(AN$4=$E88, $I88*AN$55,0) + IF(AN$4&gt;$E88,MIN(AN88,$I88-SUM($J88:AN88)))</f>
        <v>4.0995916441445468</v>
      </c>
      <c r="AP88" s="2">
        <f>IF(AO$4=$E88, $I88*AO$55,0) + IF(AO$4&gt;$E88,MIN(AO88,$I88-SUM($J88:AO88)))</f>
        <v>4.0995916441445468</v>
      </c>
      <c r="AQ88" s="57">
        <f>IF(AP$4=$E88, $I88*AP$55,0) + IF(AP$4&gt;$E88,MIN(AP88,$I88-SUM($J88:AP88)))</f>
        <v>4.0995916441445468</v>
      </c>
      <c r="AR88" s="2">
        <f>IF(AQ$4=$E88, $I88*AQ$55,0) + IF(AQ$4&gt;$E88,MIN(AQ88,$I88-SUM($J88:AQ88)))</f>
        <v>4.0995916441445468</v>
      </c>
      <c r="AS88" s="2">
        <f>IF(AR$4=$E88, $I88*AR$55,0) + IF(AR$4&gt;$E88,MIN(AR88,$I88-SUM($J88:AR88)))</f>
        <v>4.0995916441445468</v>
      </c>
      <c r="AT88" s="2">
        <f>IF(AS$4=$E88, $I88*AS$55,0) + IF(AS$4&gt;$E88,MIN(AS88,$I88-SUM($J88:AS88)))</f>
        <v>4.0995916441445468</v>
      </c>
      <c r="AU88" s="2">
        <f>IF(AT$4=$E88, $I88*AT$55,0) + IF(AT$4&gt;$E88,MIN(AT88,$I88-SUM($J88:AT88)))</f>
        <v>4.0995916441445468</v>
      </c>
      <c r="AV88" s="2">
        <f>IF(AU$4=$E88, $I88*AU$55,0) + IF(AU$4&gt;$E88,MIN(AU88,$I88-SUM($J88:AU88)))</f>
        <v>4.0995916441445468</v>
      </c>
      <c r="AW88" s="2"/>
    </row>
    <row r="89" spans="5:49" ht="16" outlineLevel="1">
      <c r="E89" s="44">
        <f>INDEX($K$4:$AV$4,,COUNT(E$65:E88)+1)</f>
        <v>41729</v>
      </c>
      <c r="G89" s="2" t="s">
        <v>101</v>
      </c>
      <c r="I89" s="2">
        <f t="shared" si="62"/>
        <v>181.16126867767576</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4.767401807307257</v>
      </c>
      <c r="AJ89" s="2">
        <f>IF(AI$4=$E89, $I89*AI$55,0) + IF(AI$4&gt;$E89,MIN(AI89,$I89-SUM($J89:AI89)))</f>
        <v>4.767401807307257</v>
      </c>
      <c r="AK89" s="2">
        <f>IF(AJ$4=$E89, $I89*AJ$55,0) + IF(AJ$4&gt;$E89,MIN(AJ89,$I89-SUM($J89:AJ89)))</f>
        <v>4.767401807307257</v>
      </c>
      <c r="AL89" s="2">
        <f>IF(AK$4=$E89, $I89*AK$55,0) + IF(AK$4&gt;$E89,MIN(AK89,$I89-SUM($J89:AK89)))</f>
        <v>4.767401807307257</v>
      </c>
      <c r="AM89" s="2">
        <f>IF(AL$4=$E89, $I89*AL$55,0) + IF(AL$4&gt;$E89,MIN(AL89,$I89-SUM($J89:AL89)))</f>
        <v>4.767401807307257</v>
      </c>
      <c r="AN89" s="2">
        <f>IF(AM$4=$E89, $I89*AM$55,0) + IF(AM$4&gt;$E89,MIN(AM89,$I89-SUM($J89:AM89)))</f>
        <v>4.767401807307257</v>
      </c>
      <c r="AO89" s="2">
        <f>IF(AN$4=$E89, $I89*AN$55,0) + IF(AN$4&gt;$E89,MIN(AN89,$I89-SUM($J89:AN89)))</f>
        <v>4.767401807307257</v>
      </c>
      <c r="AP89" s="2">
        <f>IF(AO$4=$E89, $I89*AO$55,0) + IF(AO$4&gt;$E89,MIN(AO89,$I89-SUM($J89:AO89)))</f>
        <v>4.767401807307257</v>
      </c>
      <c r="AQ89" s="57">
        <f>IF(AP$4=$E89, $I89*AP$55,0) + IF(AP$4&gt;$E89,MIN(AP89,$I89-SUM($J89:AP89)))</f>
        <v>4.767401807307257</v>
      </c>
      <c r="AR89" s="2">
        <f>IF(AQ$4=$E89, $I89*AQ$55,0) + IF(AQ$4&gt;$E89,MIN(AQ89,$I89-SUM($J89:AQ89)))</f>
        <v>4.767401807307257</v>
      </c>
      <c r="AS89" s="2">
        <f>IF(AR$4=$E89, $I89*AR$55,0) + IF(AR$4&gt;$E89,MIN(AR89,$I89-SUM($J89:AR89)))</f>
        <v>4.767401807307257</v>
      </c>
      <c r="AT89" s="2">
        <f>IF(AS$4=$E89, $I89*AS$55,0) + IF(AS$4&gt;$E89,MIN(AS89,$I89-SUM($J89:AS89)))</f>
        <v>4.767401807307257</v>
      </c>
      <c r="AU89" s="2">
        <f>IF(AT$4=$E89, $I89*AT$55,0) + IF(AT$4&gt;$E89,MIN(AT89,$I89-SUM($J89:AT89)))</f>
        <v>4.767401807307257</v>
      </c>
      <c r="AV89" s="2">
        <f>IF(AU$4=$E89, $I89*AU$55,0) + IF(AU$4&gt;$E89,MIN(AU89,$I89-SUM($J89:AU89)))</f>
        <v>4.767401807307257</v>
      </c>
      <c r="AW89" s="2"/>
    </row>
    <row r="90" spans="5:49" ht="16" outlineLevel="1">
      <c r="E90" s="44">
        <f>INDEX($K$4:$AV$4,,COUNT(E$65:E89)+1)</f>
        <v>42094</v>
      </c>
      <c r="G90" s="2" t="s">
        <v>101</v>
      </c>
      <c r="I90" s="2">
        <f t="shared" si="62"/>
        <v>189.34499297544724</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4.9827629730380849</v>
      </c>
      <c r="AK90" s="2">
        <f>IF(AJ$4=$E90, $I90*AJ$55,0) + IF(AJ$4&gt;$E90,MIN(AJ90,$I90-SUM($J90:AJ90)))</f>
        <v>4.9827629730380849</v>
      </c>
      <c r="AL90" s="2">
        <f>IF(AK$4=$E90, $I90*AK$55,0) + IF(AK$4&gt;$E90,MIN(AK90,$I90-SUM($J90:AK90)))</f>
        <v>4.9827629730380849</v>
      </c>
      <c r="AM90" s="2">
        <f>IF(AL$4=$E90, $I90*AL$55,0) + IF(AL$4&gt;$E90,MIN(AL90,$I90-SUM($J90:AL90)))</f>
        <v>4.9827629730380849</v>
      </c>
      <c r="AN90" s="2">
        <f>IF(AM$4=$E90, $I90*AM$55,0) + IF(AM$4&gt;$E90,MIN(AM90,$I90-SUM($J90:AM90)))</f>
        <v>4.9827629730380849</v>
      </c>
      <c r="AO90" s="2">
        <f>IF(AN$4=$E90, $I90*AN$55,0) + IF(AN$4&gt;$E90,MIN(AN90,$I90-SUM($J90:AN90)))</f>
        <v>4.9827629730380849</v>
      </c>
      <c r="AP90" s="2">
        <f>IF(AO$4=$E90, $I90*AO$55,0) + IF(AO$4&gt;$E90,MIN(AO90,$I90-SUM($J90:AO90)))</f>
        <v>4.9827629730380849</v>
      </c>
      <c r="AQ90" s="57">
        <f>IF(AP$4=$E90, $I90*AP$55,0) + IF(AP$4&gt;$E90,MIN(AP90,$I90-SUM($J90:AP90)))</f>
        <v>4.9827629730380849</v>
      </c>
      <c r="AR90" s="2">
        <f>IF(AQ$4=$E90, $I90*AQ$55,0) + IF(AQ$4&gt;$E90,MIN(AQ90,$I90-SUM($J90:AQ90)))</f>
        <v>4.9827629730380849</v>
      </c>
      <c r="AS90" s="2">
        <f>IF(AR$4=$E90, $I90*AR$55,0) + IF(AR$4&gt;$E90,MIN(AR90,$I90-SUM($J90:AR90)))</f>
        <v>4.9827629730380849</v>
      </c>
      <c r="AT90" s="2">
        <f>IF(AS$4=$E90, $I90*AS$55,0) + IF(AS$4&gt;$E90,MIN(AS90,$I90-SUM($J90:AS90)))</f>
        <v>4.9827629730380849</v>
      </c>
      <c r="AU90" s="2">
        <f>IF(AT$4=$E90, $I90*AT$55,0) + IF(AT$4&gt;$E90,MIN(AT90,$I90-SUM($J90:AT90)))</f>
        <v>4.9827629730380849</v>
      </c>
      <c r="AV90" s="2">
        <f>IF(AU$4=$E90, $I90*AU$55,0) + IF(AU$4&gt;$E90,MIN(AU90,$I90-SUM($J90:AU90)))</f>
        <v>4.9827629730380849</v>
      </c>
      <c r="AW90" s="2"/>
    </row>
    <row r="91" spans="5:49" ht="16"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0</v>
      </c>
      <c r="AB108" s="2">
        <f t="shared" si="63"/>
        <v>0</v>
      </c>
      <c r="AC108" s="2">
        <f t="shared" si="63"/>
        <v>0</v>
      </c>
      <c r="AD108" s="2">
        <f t="shared" si="63"/>
        <v>0</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 outlineLevel="1">
      <c r="E110" s="44">
        <f>INDEX($K$4:$AV$4,,COUNT(E$109:E109)+1)</f>
        <v>33328</v>
      </c>
      <c r="G110" s="2" t="s">
        <v>101</v>
      </c>
      <c r="I110" s="2">
        <f>INDEX($K$24:$AV$24,,MATCH(E110,$K$4:$AV$4,0))</f>
        <v>141.70383586083852</v>
      </c>
      <c r="K110" s="2">
        <f>IF(J$4=$E110, $I110*J$57,0) + IF(J$4&gt;$E110,MIN(J110,$I110-SUM($J110:J110)))</f>
        <v>0</v>
      </c>
      <c r="L110" s="2">
        <f>IF(K$4=$E110, $I110*K$57,0) + IF(K$4&gt;$E110,MIN(K110,$I110-SUM($J110:K110)))</f>
        <v>7.0851917930419264</v>
      </c>
      <c r="M110" s="2">
        <f>IF(L$4=$E110, $I110*L$57,0) + IF(L$4&gt;$E110,MIN(L110,$I110-SUM($J110:L110)))</f>
        <v>7.0851917930419264</v>
      </c>
      <c r="N110" s="2">
        <f>IF(M$4=$E110, $I110*M$57,0) + IF(M$4&gt;$E110,MIN(M110,$I110-SUM($J110:M110)))</f>
        <v>7.0851917930419264</v>
      </c>
      <c r="O110" s="2">
        <f>IF(N$4=$E110, $I110*N$57,0) + IF(N$4&gt;$E110,MIN(N110,$I110-SUM($J110:N110)))</f>
        <v>7.0851917930419264</v>
      </c>
      <c r="P110" s="2">
        <f>IF(O$4=$E110, $I110*O$57,0) + IF(O$4&gt;$E110,MIN(O110,$I110-SUM($J110:O110)))</f>
        <v>7.0851917930419264</v>
      </c>
      <c r="Q110" s="2">
        <f>IF(P$4=$E110, $I110*P$57,0) + IF(P$4&gt;$E110,MIN(P110,$I110-SUM($J110:P110)))</f>
        <v>7.0851917930419264</v>
      </c>
      <c r="R110" s="2">
        <f>IF(Q$4=$E110, $I110*Q$57,0) + IF(Q$4&gt;$E110,MIN(Q110,$I110-SUM($J110:Q110)))</f>
        <v>7.0851917930419264</v>
      </c>
      <c r="S110" s="2">
        <f>IF(R$4=$E110, $I110*R$57,0) + IF(R$4&gt;$E110,MIN(R110,$I110-SUM($J110:R110)))</f>
        <v>7.0851917930419264</v>
      </c>
      <c r="T110" s="2">
        <f>IF(S$4=$E110, $I110*S$57,0) + IF(S$4&gt;$E110,MIN(S110,$I110-SUM($J110:S110)))</f>
        <v>7.0851917930419264</v>
      </c>
      <c r="U110" s="2">
        <f>IF(T$4=$E110, $I110*T$57,0) + IF(T$4&gt;$E110,MIN(T110,$I110-SUM($J110:T110)))</f>
        <v>7.0851917930419264</v>
      </c>
      <c r="V110" s="2">
        <f>IF(U$4=$E110, $I110*U$57,0) + IF(U$4&gt;$E110,MIN(U110,$I110-SUM($J110:U110)))</f>
        <v>7.0851917930419264</v>
      </c>
      <c r="W110" s="2">
        <f>IF(V$4=$E110, $I110*V$57,0) + IF(V$4&gt;$E110,MIN(V110,$I110-SUM($J110:V110)))</f>
        <v>7.0851917930419264</v>
      </c>
      <c r="X110" s="2">
        <f>IF(W$4=$E110, $I110*W$57,0) + IF(W$4&gt;$E110,MIN(W110,$I110-SUM($J110:W110)))</f>
        <v>7.0851917930419264</v>
      </c>
      <c r="Y110" s="2">
        <f>IF(X$4=$E110, $I110*X$57,0) + IF(X$4&gt;$E110,MIN(X110,$I110-SUM($J110:X110)))</f>
        <v>7.0851917930419264</v>
      </c>
      <c r="Z110" s="2">
        <f>IF(Y$4=$E110, $I110*Y$57,0) + IF(Y$4&gt;$E110,MIN(Y110,$I110-SUM($J110:Y110)))</f>
        <v>7.0851917930419264</v>
      </c>
      <c r="AA110" s="2">
        <f>IF(Z$4=$E110, $I110*Z$57,0) + IF(Z$4&gt;$E110,MIN(Z110,$I110-SUM($J110:Z110)))</f>
        <v>7.0851917930419264</v>
      </c>
      <c r="AB110" s="2">
        <f>IF(AA$4=$E110, $I110*AA$57,0) + IF(AA$4&gt;$E110,MIN(AA110,$I110-SUM($J110:AA110)))</f>
        <v>7.0851917930419264</v>
      </c>
      <c r="AC110" s="2">
        <f>IF(AB$4=$E110, $I110*AB$57,0) + IF(AB$4&gt;$E110,MIN(AB110,$I110-SUM($J110:AB110)))</f>
        <v>7.0851917930419264</v>
      </c>
      <c r="AD110" s="2">
        <f>IF(AC$4=$E110, $I110*AC$57,0) + IF(AC$4&gt;$E110,MIN(AC110,$I110-SUM($J110:AC110)))</f>
        <v>7.0851917930419264</v>
      </c>
      <c r="AE110" s="2">
        <f>IF(AD$4=$E110, $I110*AD$57,0) + IF(AD$4&gt;$E110,MIN(AD110,$I110-SUM($J110:AD110)))</f>
        <v>7.0851917930419006</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 outlineLevel="1">
      <c r="E111" s="44">
        <f>INDEX($K$4:$AV$4,,COUNT(E$109:E110)+1)</f>
        <v>33694</v>
      </c>
      <c r="G111" s="2" t="s">
        <v>101</v>
      </c>
      <c r="I111" s="2">
        <f t="shared" ref="I111:I147" si="64">INDEX($K$24:$AV$24,,MATCH(E111,$K$4:$AV$4,0))</f>
        <v>119.1053156320512</v>
      </c>
      <c r="K111" s="2">
        <f>IF(J$4=$E111, $I111*J$57,0) + IF(J$4&gt;$E111,MIN(J111,$I111-SUM($J111:J111)))</f>
        <v>0</v>
      </c>
      <c r="L111" s="2">
        <f>IF(K$4=$E111, $I111*K$57,0) + IF(K$4&gt;$E111,MIN(K111,$I111-SUM($J111:K111)))</f>
        <v>0</v>
      </c>
      <c r="M111" s="2">
        <f>IF(L$4=$E111, $I111*L$57,0) + IF(L$4&gt;$E111,MIN(L111,$I111-SUM($J111:L111)))</f>
        <v>5.9552657816025603</v>
      </c>
      <c r="N111" s="2">
        <f>IF(M$4=$E111, $I111*M$57,0) + IF(M$4&gt;$E111,MIN(M111,$I111-SUM($J111:M111)))</f>
        <v>5.9552657816025603</v>
      </c>
      <c r="O111" s="2">
        <f>IF(N$4=$E111, $I111*N$57,0) + IF(N$4&gt;$E111,MIN(N111,$I111-SUM($J111:N111)))</f>
        <v>5.9552657816025603</v>
      </c>
      <c r="P111" s="2">
        <f>IF(O$4=$E111, $I111*O$57,0) + IF(O$4&gt;$E111,MIN(O111,$I111-SUM($J111:O111)))</f>
        <v>5.9552657816025603</v>
      </c>
      <c r="Q111" s="2">
        <f>IF(P$4=$E111, $I111*P$57,0) + IF(P$4&gt;$E111,MIN(P111,$I111-SUM($J111:P111)))</f>
        <v>5.9552657816025603</v>
      </c>
      <c r="R111" s="2">
        <f>IF(Q$4=$E111, $I111*Q$57,0) + IF(Q$4&gt;$E111,MIN(Q111,$I111-SUM($J111:Q111)))</f>
        <v>5.9552657816025603</v>
      </c>
      <c r="S111" s="2">
        <f>IF(R$4=$E111, $I111*R$57,0) + IF(R$4&gt;$E111,MIN(R111,$I111-SUM($J111:R111)))</f>
        <v>5.9552657816025603</v>
      </c>
      <c r="T111" s="2">
        <f>IF(S$4=$E111, $I111*S$57,0) + IF(S$4&gt;$E111,MIN(S111,$I111-SUM($J111:S111)))</f>
        <v>5.9552657816025603</v>
      </c>
      <c r="U111" s="2">
        <f>IF(T$4=$E111, $I111*T$57,0) + IF(T$4&gt;$E111,MIN(T111,$I111-SUM($J111:T111)))</f>
        <v>5.9552657816025603</v>
      </c>
      <c r="V111" s="2">
        <f>IF(U$4=$E111, $I111*U$57,0) + IF(U$4&gt;$E111,MIN(U111,$I111-SUM($J111:U111)))</f>
        <v>5.9552657816025603</v>
      </c>
      <c r="W111" s="2">
        <f>IF(V$4=$E111, $I111*V$57,0) + IF(V$4&gt;$E111,MIN(V111,$I111-SUM($J111:V111)))</f>
        <v>5.9552657816025603</v>
      </c>
      <c r="X111" s="2">
        <f>IF(W$4=$E111, $I111*W$57,0) + IF(W$4&gt;$E111,MIN(W111,$I111-SUM($J111:W111)))</f>
        <v>5.9552657816025603</v>
      </c>
      <c r="Y111" s="2">
        <f>IF(X$4=$E111, $I111*X$57,0) + IF(X$4&gt;$E111,MIN(X111,$I111-SUM($J111:X111)))</f>
        <v>5.9552657816025603</v>
      </c>
      <c r="Z111" s="2">
        <f>IF(Y$4=$E111, $I111*Y$57,0) + IF(Y$4&gt;$E111,MIN(Y111,$I111-SUM($J111:Y111)))</f>
        <v>5.9552657816025603</v>
      </c>
      <c r="AA111" s="2">
        <f>IF(Z$4=$E111, $I111*Z$57,0) + IF(Z$4&gt;$E111,MIN(Z111,$I111-SUM($J111:Z111)))</f>
        <v>5.9552657816025603</v>
      </c>
      <c r="AB111" s="2">
        <f>IF(AA$4=$E111, $I111*AA$57,0) + IF(AA$4&gt;$E111,MIN(AA111,$I111-SUM($J111:AA111)))</f>
        <v>5.9552657816025603</v>
      </c>
      <c r="AC111" s="2">
        <f>IF(AB$4=$E111, $I111*AB$57,0) + IF(AB$4&gt;$E111,MIN(AB111,$I111-SUM($J111:AB111)))</f>
        <v>5.9552657816025603</v>
      </c>
      <c r="AD111" s="2">
        <f>IF(AC$4=$E111, $I111*AC$57,0) + IF(AC$4&gt;$E111,MIN(AC111,$I111-SUM($J111:AC111)))</f>
        <v>5.9552657816025603</v>
      </c>
      <c r="AE111" s="2">
        <f>IF(AD$4=$E111, $I111*AD$57,0) + IF(AD$4&gt;$E111,MIN(AD111,$I111-SUM($J111:AD111)))</f>
        <v>5.9552657816025603</v>
      </c>
      <c r="AF111" s="2">
        <f>IF(AE$4=$E111, $I111*AE$57,0) + IF(AE$4&gt;$E111,MIN(AE111,$I111-SUM($J111:AE111)))</f>
        <v>5.9552657816025203</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 outlineLevel="1">
      <c r="E112" s="44">
        <f>INDEX($K$4:$AV$4,,COUNT(E$109:E111)+1)</f>
        <v>34059</v>
      </c>
      <c r="G112" s="2" t="s">
        <v>101</v>
      </c>
      <c r="I112" s="2">
        <f t="shared" si="64"/>
        <v>114.84493886760769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5.7422469433803851</v>
      </c>
      <c r="O112" s="2">
        <f>IF(N$4=$E112, $I112*N$57,0) + IF(N$4&gt;$E112,MIN(N112,$I112-SUM($J112:N112)))</f>
        <v>5.7422469433803851</v>
      </c>
      <c r="P112" s="2">
        <f>IF(O$4=$E112, $I112*O$57,0) + IF(O$4&gt;$E112,MIN(O112,$I112-SUM($J112:O112)))</f>
        <v>5.7422469433803851</v>
      </c>
      <c r="Q112" s="2">
        <f>IF(P$4=$E112, $I112*P$57,0) + IF(P$4&gt;$E112,MIN(P112,$I112-SUM($J112:P112)))</f>
        <v>5.7422469433803851</v>
      </c>
      <c r="R112" s="2">
        <f>IF(Q$4=$E112, $I112*Q$57,0) + IF(Q$4&gt;$E112,MIN(Q112,$I112-SUM($J112:Q112)))</f>
        <v>5.7422469433803851</v>
      </c>
      <c r="S112" s="2">
        <f>IF(R$4=$E112, $I112*R$57,0) + IF(R$4&gt;$E112,MIN(R112,$I112-SUM($J112:R112)))</f>
        <v>5.7422469433803851</v>
      </c>
      <c r="T112" s="2">
        <f>IF(S$4=$E112, $I112*S$57,0) + IF(S$4&gt;$E112,MIN(S112,$I112-SUM($J112:S112)))</f>
        <v>5.7422469433803851</v>
      </c>
      <c r="U112" s="2">
        <f>IF(T$4=$E112, $I112*T$57,0) + IF(T$4&gt;$E112,MIN(T112,$I112-SUM($J112:T112)))</f>
        <v>5.7422469433803851</v>
      </c>
      <c r="V112" s="2">
        <f>IF(U$4=$E112, $I112*U$57,0) + IF(U$4&gt;$E112,MIN(U112,$I112-SUM($J112:U112)))</f>
        <v>5.7422469433803851</v>
      </c>
      <c r="W112" s="2">
        <f>IF(V$4=$E112, $I112*V$57,0) + IF(V$4&gt;$E112,MIN(V112,$I112-SUM($J112:V112)))</f>
        <v>5.7422469433803851</v>
      </c>
      <c r="X112" s="2">
        <f>IF(W$4=$E112, $I112*W$57,0) + IF(W$4&gt;$E112,MIN(W112,$I112-SUM($J112:W112)))</f>
        <v>5.7422469433803851</v>
      </c>
      <c r="Y112" s="2">
        <f>IF(X$4=$E112, $I112*X$57,0) + IF(X$4&gt;$E112,MIN(X112,$I112-SUM($J112:X112)))</f>
        <v>5.7422469433803851</v>
      </c>
      <c r="Z112" s="2">
        <f>IF(Y$4=$E112, $I112*Y$57,0) + IF(Y$4&gt;$E112,MIN(Y112,$I112-SUM($J112:Y112)))</f>
        <v>5.7422469433803851</v>
      </c>
      <c r="AA112" s="2">
        <f>IF(Z$4=$E112, $I112*Z$57,0) + IF(Z$4&gt;$E112,MIN(Z112,$I112-SUM($J112:Z112)))</f>
        <v>5.7422469433803851</v>
      </c>
      <c r="AB112" s="2">
        <f>IF(AA$4=$E112, $I112*AA$57,0) + IF(AA$4&gt;$E112,MIN(AA112,$I112-SUM($J112:AA112)))</f>
        <v>5.7422469433803851</v>
      </c>
      <c r="AC112" s="2">
        <f>IF(AB$4=$E112, $I112*AB$57,0) + IF(AB$4&gt;$E112,MIN(AB112,$I112-SUM($J112:AB112)))</f>
        <v>5.7422469433803851</v>
      </c>
      <c r="AD112" s="2">
        <f>IF(AC$4=$E112, $I112*AC$57,0) + IF(AC$4&gt;$E112,MIN(AC112,$I112-SUM($J112:AC112)))</f>
        <v>5.7422469433803851</v>
      </c>
      <c r="AE112" s="2">
        <f>IF(AD$4=$E112, $I112*AD$57,0) + IF(AD$4&gt;$E112,MIN(AD112,$I112-SUM($J112:AD112)))</f>
        <v>5.7422469433803851</v>
      </c>
      <c r="AF112" s="2">
        <f>IF(AE$4=$E112, $I112*AE$57,0) + IF(AE$4&gt;$E112,MIN(AE112,$I112-SUM($J112:AE112)))</f>
        <v>5.7422469433803851</v>
      </c>
      <c r="AG112" s="2">
        <f>IF(AF$4=$E112, $I112*AF$57,0) + IF(AF$4&gt;$E112,MIN(AF112,$I112-SUM($J112:AF112)))</f>
        <v>5.7422469433803851</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 outlineLevel="1">
      <c r="E113" s="44">
        <f>INDEX($K$4:$AV$4,,COUNT(E$109:E112)+1)</f>
        <v>34424</v>
      </c>
      <c r="G113" s="2" t="s">
        <v>101</v>
      </c>
      <c r="I113" s="2">
        <f t="shared" si="64"/>
        <v>121.88382221755786</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6.0941911108778939</v>
      </c>
      <c r="P113" s="2">
        <f>IF(O$4=$E113, $I113*O$57,0) + IF(O$4&gt;$E113,MIN(O113,$I113-SUM($J113:O113)))</f>
        <v>6.0941911108778939</v>
      </c>
      <c r="Q113" s="2">
        <f>IF(P$4=$E113, $I113*P$57,0) + IF(P$4&gt;$E113,MIN(P113,$I113-SUM($J113:P113)))</f>
        <v>6.0941911108778939</v>
      </c>
      <c r="R113" s="2">
        <f>IF(Q$4=$E113, $I113*Q$57,0) + IF(Q$4&gt;$E113,MIN(Q113,$I113-SUM($J113:Q113)))</f>
        <v>6.0941911108778939</v>
      </c>
      <c r="S113" s="2">
        <f>IF(R$4=$E113, $I113*R$57,0) + IF(R$4&gt;$E113,MIN(R113,$I113-SUM($J113:R113)))</f>
        <v>6.0941911108778939</v>
      </c>
      <c r="T113" s="2">
        <f>IF(S$4=$E113, $I113*S$57,0) + IF(S$4&gt;$E113,MIN(S113,$I113-SUM($J113:S113)))</f>
        <v>6.0941911108778939</v>
      </c>
      <c r="U113" s="2">
        <f>IF(T$4=$E113, $I113*T$57,0) + IF(T$4&gt;$E113,MIN(T113,$I113-SUM($J113:T113)))</f>
        <v>6.0941911108778939</v>
      </c>
      <c r="V113" s="2">
        <f>IF(U$4=$E113, $I113*U$57,0) + IF(U$4&gt;$E113,MIN(U113,$I113-SUM($J113:U113)))</f>
        <v>6.0941911108778939</v>
      </c>
      <c r="W113" s="2">
        <f>IF(V$4=$E113, $I113*V$57,0) + IF(V$4&gt;$E113,MIN(V113,$I113-SUM($J113:V113)))</f>
        <v>6.0941911108778939</v>
      </c>
      <c r="X113" s="2">
        <f>IF(W$4=$E113, $I113*W$57,0) + IF(W$4&gt;$E113,MIN(W113,$I113-SUM($J113:W113)))</f>
        <v>6.0941911108778939</v>
      </c>
      <c r="Y113" s="2">
        <f>IF(X$4=$E113, $I113*X$57,0) + IF(X$4&gt;$E113,MIN(X113,$I113-SUM($J113:X113)))</f>
        <v>6.0941911108778939</v>
      </c>
      <c r="Z113" s="2">
        <f>IF(Y$4=$E113, $I113*Y$57,0) + IF(Y$4&gt;$E113,MIN(Y113,$I113-SUM($J113:Y113)))</f>
        <v>6.0941911108778939</v>
      </c>
      <c r="AA113" s="2">
        <f>IF(Z$4=$E113, $I113*Z$57,0) + IF(Z$4&gt;$E113,MIN(Z113,$I113-SUM($J113:Z113)))</f>
        <v>6.0941911108778939</v>
      </c>
      <c r="AB113" s="2">
        <f>IF(AA$4=$E113, $I113*AA$57,0) + IF(AA$4&gt;$E113,MIN(AA113,$I113-SUM($J113:AA113)))</f>
        <v>6.0941911108778939</v>
      </c>
      <c r="AC113" s="2">
        <f>IF(AB$4=$E113, $I113*AB$57,0) + IF(AB$4&gt;$E113,MIN(AB113,$I113-SUM($J113:AB113)))</f>
        <v>6.0941911108778939</v>
      </c>
      <c r="AD113" s="2">
        <f>IF(AC$4=$E113, $I113*AC$57,0) + IF(AC$4&gt;$E113,MIN(AC113,$I113-SUM($J113:AC113)))</f>
        <v>6.0941911108778939</v>
      </c>
      <c r="AE113" s="2">
        <f>IF(AD$4=$E113, $I113*AD$57,0) + IF(AD$4&gt;$E113,MIN(AD113,$I113-SUM($J113:AD113)))</f>
        <v>6.0941911108778939</v>
      </c>
      <c r="AF113" s="2">
        <f>IF(AE$4=$E113, $I113*AE$57,0) + IF(AE$4&gt;$E113,MIN(AE113,$I113-SUM($J113:AE113)))</f>
        <v>6.0941911108778939</v>
      </c>
      <c r="AG113" s="2">
        <f>IF(AF$4=$E113, $I113*AF$57,0) + IF(AF$4&gt;$E113,MIN(AF113,$I113-SUM($J113:AF113)))</f>
        <v>6.0941911108778939</v>
      </c>
      <c r="AH113" s="2">
        <f>IF(AG$4=$E113, $I113*AG$57,0) + IF(AG$4&gt;$E113,MIN(AG113,$I113-SUM($J113:AG113)))</f>
        <v>6.0941911108778939</v>
      </c>
      <c r="AI113" s="2">
        <f>IF(AH$4=$E113, $I113*AH$57,0) + IF(AH$4&gt;$E113,MIN(AH113,$I113-SUM($J113:AH113)))</f>
        <v>4.2632564145606011E-14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 outlineLevel="1">
      <c r="E114" s="44">
        <f>INDEX($K$4:$AV$4,,COUNT(E$109:E113)+1)</f>
        <v>34789</v>
      </c>
      <c r="G114" s="2" t="s">
        <v>101</v>
      </c>
      <c r="I114" s="2">
        <f t="shared" si="64"/>
        <v>110.02886078606286</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5.5014430393031439</v>
      </c>
      <c r="Q114" s="2">
        <f>IF(P$4=$E114, $I114*P$57,0) + IF(P$4&gt;$E114,MIN(P114,$I114-SUM($J114:P114)))</f>
        <v>5.5014430393031439</v>
      </c>
      <c r="R114" s="2">
        <f>IF(Q$4=$E114, $I114*Q$57,0) + IF(Q$4&gt;$E114,MIN(Q114,$I114-SUM($J114:Q114)))</f>
        <v>5.5014430393031439</v>
      </c>
      <c r="S114" s="2">
        <f>IF(R$4=$E114, $I114*R$57,0) + IF(R$4&gt;$E114,MIN(R114,$I114-SUM($J114:R114)))</f>
        <v>5.5014430393031439</v>
      </c>
      <c r="T114" s="2">
        <f>IF(S$4=$E114, $I114*S$57,0) + IF(S$4&gt;$E114,MIN(S114,$I114-SUM($J114:S114)))</f>
        <v>5.5014430393031439</v>
      </c>
      <c r="U114" s="2">
        <f>IF(T$4=$E114, $I114*T$57,0) + IF(T$4&gt;$E114,MIN(T114,$I114-SUM($J114:T114)))</f>
        <v>5.5014430393031439</v>
      </c>
      <c r="V114" s="2">
        <f>IF(U$4=$E114, $I114*U$57,0) + IF(U$4&gt;$E114,MIN(U114,$I114-SUM($J114:U114)))</f>
        <v>5.5014430393031439</v>
      </c>
      <c r="W114" s="2">
        <f>IF(V$4=$E114, $I114*V$57,0) + IF(V$4&gt;$E114,MIN(V114,$I114-SUM($J114:V114)))</f>
        <v>5.5014430393031439</v>
      </c>
      <c r="X114" s="2">
        <f>IF(W$4=$E114, $I114*W$57,0) + IF(W$4&gt;$E114,MIN(W114,$I114-SUM($J114:W114)))</f>
        <v>5.5014430393031439</v>
      </c>
      <c r="Y114" s="2">
        <f>IF(X$4=$E114, $I114*X$57,0) + IF(X$4&gt;$E114,MIN(X114,$I114-SUM($J114:X114)))</f>
        <v>5.5014430393031439</v>
      </c>
      <c r="Z114" s="2">
        <f>IF(Y$4=$E114, $I114*Y$57,0) + IF(Y$4&gt;$E114,MIN(Y114,$I114-SUM($J114:Y114)))</f>
        <v>5.5014430393031439</v>
      </c>
      <c r="AA114" s="2">
        <f>IF(Z$4=$E114, $I114*Z$57,0) + IF(Z$4&gt;$E114,MIN(Z114,$I114-SUM($J114:Z114)))</f>
        <v>5.5014430393031439</v>
      </c>
      <c r="AB114" s="2">
        <f>IF(AA$4=$E114, $I114*AA$57,0) + IF(AA$4&gt;$E114,MIN(AA114,$I114-SUM($J114:AA114)))</f>
        <v>5.5014430393031439</v>
      </c>
      <c r="AC114" s="2">
        <f>IF(AB$4=$E114, $I114*AB$57,0) + IF(AB$4&gt;$E114,MIN(AB114,$I114-SUM($J114:AB114)))</f>
        <v>5.5014430393031439</v>
      </c>
      <c r="AD114" s="2">
        <f>IF(AC$4=$E114, $I114*AC$57,0) + IF(AC$4&gt;$E114,MIN(AC114,$I114-SUM($J114:AC114)))</f>
        <v>5.5014430393031439</v>
      </c>
      <c r="AE114" s="2">
        <f>IF(AD$4=$E114, $I114*AD$57,0) + IF(AD$4&gt;$E114,MIN(AD114,$I114-SUM($J114:AD114)))</f>
        <v>5.5014430393031439</v>
      </c>
      <c r="AF114" s="2">
        <f>IF(AE$4=$E114, $I114*AE$57,0) + IF(AE$4&gt;$E114,MIN(AE114,$I114-SUM($J114:AE114)))</f>
        <v>5.5014430393031439</v>
      </c>
      <c r="AG114" s="2">
        <f>IF(AF$4=$E114, $I114*AF$57,0) + IF(AF$4&gt;$E114,MIN(AF114,$I114-SUM($J114:AF114)))</f>
        <v>5.5014430393031439</v>
      </c>
      <c r="AH114" s="2">
        <f>IF(AG$4=$E114, $I114*AG$57,0) + IF(AG$4&gt;$E114,MIN(AG114,$I114-SUM($J114:AG114)))</f>
        <v>5.5014430393031439</v>
      </c>
      <c r="AI114" s="2">
        <f>IF(AH$4=$E114, $I114*AH$57,0) + IF(AH$4&gt;$E114,MIN(AH114,$I114-SUM($J114:AH114)))</f>
        <v>5.5014430393031439</v>
      </c>
      <c r="AJ114" s="2">
        <f>IF(AI$4=$E114, $I114*AI$57,0) + IF(AI$4&gt;$E114,MIN(AI114,$I114-SUM($J114:AI114)))</f>
        <v>2.8421709430404007E-14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 outlineLevel="1">
      <c r="E115" s="44">
        <f>INDEX($K$4:$AV$4,,COUNT(E$109:E114)+1)</f>
        <v>35155</v>
      </c>
      <c r="G115" s="2" t="s">
        <v>101</v>
      </c>
      <c r="I115" s="2">
        <f t="shared" si="64"/>
        <v>117.06774413601302</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5.8533872068006509</v>
      </c>
      <c r="R115" s="2">
        <f>IF(Q$4=$E115, $I115*Q$57,0) + IF(Q$4&gt;$E115,MIN(Q115,$I115-SUM($J115:Q115)))</f>
        <v>5.8533872068006509</v>
      </c>
      <c r="S115" s="2">
        <f>IF(R$4=$E115, $I115*R$57,0) + IF(R$4&gt;$E115,MIN(R115,$I115-SUM($J115:R115)))</f>
        <v>5.8533872068006509</v>
      </c>
      <c r="T115" s="2">
        <f>IF(S$4=$E115, $I115*S$57,0) + IF(S$4&gt;$E115,MIN(S115,$I115-SUM($J115:S115)))</f>
        <v>5.8533872068006509</v>
      </c>
      <c r="U115" s="2">
        <f>IF(T$4=$E115, $I115*T$57,0) + IF(T$4&gt;$E115,MIN(T115,$I115-SUM($J115:T115)))</f>
        <v>5.8533872068006509</v>
      </c>
      <c r="V115" s="2">
        <f>IF(U$4=$E115, $I115*U$57,0) + IF(U$4&gt;$E115,MIN(U115,$I115-SUM($J115:U115)))</f>
        <v>5.8533872068006509</v>
      </c>
      <c r="W115" s="2">
        <f>IF(V$4=$E115, $I115*V$57,0) + IF(V$4&gt;$E115,MIN(V115,$I115-SUM($J115:V115)))</f>
        <v>5.8533872068006509</v>
      </c>
      <c r="X115" s="2">
        <f>IF(W$4=$E115, $I115*W$57,0) + IF(W$4&gt;$E115,MIN(W115,$I115-SUM($J115:W115)))</f>
        <v>5.8533872068006509</v>
      </c>
      <c r="Y115" s="2">
        <f>IF(X$4=$E115, $I115*X$57,0) + IF(X$4&gt;$E115,MIN(X115,$I115-SUM($J115:X115)))</f>
        <v>5.8533872068006509</v>
      </c>
      <c r="Z115" s="2">
        <f>IF(Y$4=$E115, $I115*Y$57,0) + IF(Y$4&gt;$E115,MIN(Y115,$I115-SUM($J115:Y115)))</f>
        <v>5.8533872068006509</v>
      </c>
      <c r="AA115" s="2">
        <f>IF(Z$4=$E115, $I115*Z$57,0) + IF(Z$4&gt;$E115,MIN(Z115,$I115-SUM($J115:Z115)))</f>
        <v>5.8533872068006509</v>
      </c>
      <c r="AB115" s="2">
        <f>IF(AA$4=$E115, $I115*AA$57,0) + IF(AA$4&gt;$E115,MIN(AA115,$I115-SUM($J115:AA115)))</f>
        <v>5.8533872068006509</v>
      </c>
      <c r="AC115" s="2">
        <f>IF(AB$4=$E115, $I115*AB$57,0) + IF(AB$4&gt;$E115,MIN(AB115,$I115-SUM($J115:AB115)))</f>
        <v>5.8533872068006509</v>
      </c>
      <c r="AD115" s="2">
        <f>IF(AC$4=$E115, $I115*AC$57,0) + IF(AC$4&gt;$E115,MIN(AC115,$I115-SUM($J115:AC115)))</f>
        <v>5.8533872068006509</v>
      </c>
      <c r="AE115" s="2">
        <f>IF(AD$4=$E115, $I115*AD$57,0) + IF(AD$4&gt;$E115,MIN(AD115,$I115-SUM($J115:AD115)))</f>
        <v>5.8533872068006509</v>
      </c>
      <c r="AF115" s="2">
        <f>IF(AE$4=$E115, $I115*AE$57,0) + IF(AE$4&gt;$E115,MIN(AE115,$I115-SUM($J115:AE115)))</f>
        <v>5.8533872068006509</v>
      </c>
      <c r="AG115" s="2">
        <f>IF(AF$4=$E115, $I115*AF$57,0) + IF(AF$4&gt;$E115,MIN(AF115,$I115-SUM($J115:AF115)))</f>
        <v>5.8533872068006509</v>
      </c>
      <c r="AH115" s="2">
        <f>IF(AG$4=$E115, $I115*AG$57,0) + IF(AG$4&gt;$E115,MIN(AG115,$I115-SUM($J115:AG115)))</f>
        <v>5.8533872068006509</v>
      </c>
      <c r="AI115" s="2">
        <f>IF(AH$4=$E115, $I115*AH$57,0) + IF(AH$4&gt;$E115,MIN(AH115,$I115-SUM($J115:AH115)))</f>
        <v>5.8533872068006509</v>
      </c>
      <c r="AJ115" s="2">
        <f>IF(AI$4=$E115, $I115*AI$57,0) + IF(AI$4&gt;$E115,MIN(AI115,$I115-SUM($J115:AI115)))</f>
        <v>5.8533872068006509</v>
      </c>
      <c r="AK115" s="2">
        <f>IF(AJ$4=$E115, $I115*AJ$57,0) + IF(AJ$4&gt;$E115,MIN(AJ115,$I115-SUM($J115:AJ115)))</f>
        <v>4.2632564145606011E-14</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 outlineLevel="1">
      <c r="E116" s="44">
        <f>INDEX($K$4:$AV$4,,COUNT(E$109:E115)+1)</f>
        <v>35520</v>
      </c>
      <c r="G116" s="2" t="s">
        <v>101</v>
      </c>
      <c r="I116" s="2">
        <f t="shared" si="64"/>
        <v>90.764548459883514</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4.5382274229941757</v>
      </c>
      <c r="S116" s="2">
        <f>IF(R$4=$E116, $I116*R$57,0) + IF(R$4&gt;$E116,MIN(R116,$I116-SUM($J116:R116)))</f>
        <v>4.5382274229941757</v>
      </c>
      <c r="T116" s="2">
        <f>IF(S$4=$E116, $I116*S$57,0) + IF(S$4&gt;$E116,MIN(S116,$I116-SUM($J116:S116)))</f>
        <v>4.5382274229941757</v>
      </c>
      <c r="U116" s="2">
        <f>IF(T$4=$E116, $I116*T$57,0) + IF(T$4&gt;$E116,MIN(T116,$I116-SUM($J116:T116)))</f>
        <v>4.5382274229941757</v>
      </c>
      <c r="V116" s="2">
        <f>IF(U$4=$E116, $I116*U$57,0) + IF(U$4&gt;$E116,MIN(U116,$I116-SUM($J116:U116)))</f>
        <v>4.5382274229941757</v>
      </c>
      <c r="W116" s="2">
        <f>IF(V$4=$E116, $I116*V$57,0) + IF(V$4&gt;$E116,MIN(V116,$I116-SUM($J116:V116)))</f>
        <v>4.5382274229941757</v>
      </c>
      <c r="X116" s="2">
        <f>IF(W$4=$E116, $I116*W$57,0) + IF(W$4&gt;$E116,MIN(W116,$I116-SUM($J116:W116)))</f>
        <v>4.5382274229941757</v>
      </c>
      <c r="Y116" s="2">
        <f>IF(X$4=$E116, $I116*X$57,0) + IF(X$4&gt;$E116,MIN(X116,$I116-SUM($J116:X116)))</f>
        <v>4.5382274229941757</v>
      </c>
      <c r="Z116" s="2">
        <f>IF(Y$4=$E116, $I116*Y$57,0) + IF(Y$4&gt;$E116,MIN(Y116,$I116-SUM($J116:Y116)))</f>
        <v>4.5382274229941757</v>
      </c>
      <c r="AA116" s="2">
        <f>IF(Z$4=$E116, $I116*Z$57,0) + IF(Z$4&gt;$E116,MIN(Z116,$I116-SUM($J116:Z116)))</f>
        <v>4.5382274229941757</v>
      </c>
      <c r="AB116" s="2">
        <f>IF(AA$4=$E116, $I116*AA$57,0) + IF(AA$4&gt;$E116,MIN(AA116,$I116-SUM($J116:AA116)))</f>
        <v>4.5382274229941757</v>
      </c>
      <c r="AC116" s="2">
        <f>IF(AB$4=$E116, $I116*AB$57,0) + IF(AB$4&gt;$E116,MIN(AB116,$I116-SUM($J116:AB116)))</f>
        <v>4.5382274229941757</v>
      </c>
      <c r="AD116" s="2">
        <f>IF(AC$4=$E116, $I116*AC$57,0) + IF(AC$4&gt;$E116,MIN(AC116,$I116-SUM($J116:AC116)))</f>
        <v>4.5382274229941757</v>
      </c>
      <c r="AE116" s="2">
        <f>IF(AD$4=$E116, $I116*AD$57,0) + IF(AD$4&gt;$E116,MIN(AD116,$I116-SUM($J116:AD116)))</f>
        <v>4.5382274229941757</v>
      </c>
      <c r="AF116" s="2">
        <f>IF(AE$4=$E116, $I116*AE$57,0) + IF(AE$4&gt;$E116,MIN(AE116,$I116-SUM($J116:AE116)))</f>
        <v>4.5382274229941757</v>
      </c>
      <c r="AG116" s="2">
        <f>IF(AF$4=$E116, $I116*AF$57,0) + IF(AF$4&gt;$E116,MIN(AF116,$I116-SUM($J116:AF116)))</f>
        <v>4.5382274229941757</v>
      </c>
      <c r="AH116" s="2">
        <f>IF(AG$4=$E116, $I116*AG$57,0) + IF(AG$4&gt;$E116,MIN(AG116,$I116-SUM($J116:AG116)))</f>
        <v>4.5382274229941757</v>
      </c>
      <c r="AI116" s="2">
        <f>IF(AH$4=$E116, $I116*AH$57,0) + IF(AH$4&gt;$E116,MIN(AH116,$I116-SUM($J116:AH116)))</f>
        <v>4.5382274229941757</v>
      </c>
      <c r="AJ116" s="2">
        <f>IF(AI$4=$E116, $I116*AI$57,0) + IF(AI$4&gt;$E116,MIN(AI116,$I116-SUM($J116:AI116)))</f>
        <v>4.5382274229941757</v>
      </c>
      <c r="AK116" s="2">
        <f>IF(AJ$4=$E116, $I116*AJ$57,0) + IF(AJ$4&gt;$E116,MIN(AJ116,$I116-SUM($J116:AJ116)))</f>
        <v>4.5382274229941757</v>
      </c>
      <c r="AL116" s="2">
        <f>IF(AK$4=$E116, $I116*AK$57,0) + IF(AK$4&gt;$E116,MIN(AK116,$I116-SUM($J116:AK116)))</f>
        <v>2.8421709430404007E-14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 outlineLevel="1">
      <c r="E117" s="44">
        <f>INDEX($K$4:$AV$4,,COUNT(E$109:E116)+1)</f>
        <v>35885</v>
      </c>
      <c r="G117" s="2" t="s">
        <v>101</v>
      </c>
      <c r="I117" s="2">
        <f t="shared" si="64"/>
        <v>100.39670462297319</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5.0198352311486598</v>
      </c>
      <c r="T117" s="2">
        <f>IF(S$4=$E117, $I117*S$57,0) + IF(S$4&gt;$E117,MIN(S117,$I117-SUM($J117:S117)))</f>
        <v>5.0198352311486598</v>
      </c>
      <c r="U117" s="2">
        <f>IF(T$4=$E117, $I117*T$57,0) + IF(T$4&gt;$E117,MIN(T117,$I117-SUM($J117:T117)))</f>
        <v>5.0198352311486598</v>
      </c>
      <c r="V117" s="2">
        <f>IF(U$4=$E117, $I117*U$57,0) + IF(U$4&gt;$E117,MIN(U117,$I117-SUM($J117:U117)))</f>
        <v>5.0198352311486598</v>
      </c>
      <c r="W117" s="2">
        <f>IF(V$4=$E117, $I117*V$57,0) + IF(V$4&gt;$E117,MIN(V117,$I117-SUM($J117:V117)))</f>
        <v>5.0198352311486598</v>
      </c>
      <c r="X117" s="2">
        <f>IF(W$4=$E117, $I117*W$57,0) + IF(W$4&gt;$E117,MIN(W117,$I117-SUM($J117:W117)))</f>
        <v>5.0198352311486598</v>
      </c>
      <c r="Y117" s="2">
        <f>IF(X$4=$E117, $I117*X$57,0) + IF(X$4&gt;$E117,MIN(X117,$I117-SUM($J117:X117)))</f>
        <v>5.0198352311486598</v>
      </c>
      <c r="Z117" s="2">
        <f>IF(Y$4=$E117, $I117*Y$57,0) + IF(Y$4&gt;$E117,MIN(Y117,$I117-SUM($J117:Y117)))</f>
        <v>5.0198352311486598</v>
      </c>
      <c r="AA117" s="2">
        <f>IF(Z$4=$E117, $I117*Z$57,0) + IF(Z$4&gt;$E117,MIN(Z117,$I117-SUM($J117:Z117)))</f>
        <v>5.0198352311486598</v>
      </c>
      <c r="AB117" s="2">
        <f>IF(AA$4=$E117, $I117*AA$57,0) + IF(AA$4&gt;$E117,MIN(AA117,$I117-SUM($J117:AA117)))</f>
        <v>5.0198352311486598</v>
      </c>
      <c r="AC117" s="2">
        <f>IF(AB$4=$E117, $I117*AB$57,0) + IF(AB$4&gt;$E117,MIN(AB117,$I117-SUM($J117:AB117)))</f>
        <v>5.0198352311486598</v>
      </c>
      <c r="AD117" s="2">
        <f>IF(AC$4=$E117, $I117*AC$57,0) + IF(AC$4&gt;$E117,MIN(AC117,$I117-SUM($J117:AC117)))</f>
        <v>5.0198352311486598</v>
      </c>
      <c r="AE117" s="2">
        <f>IF(AD$4=$E117, $I117*AD$57,0) + IF(AD$4&gt;$E117,MIN(AD117,$I117-SUM($J117:AD117)))</f>
        <v>5.0198352311486598</v>
      </c>
      <c r="AF117" s="2">
        <f>IF(AE$4=$E117, $I117*AE$57,0) + IF(AE$4&gt;$E117,MIN(AE117,$I117-SUM($J117:AE117)))</f>
        <v>5.0198352311486598</v>
      </c>
      <c r="AG117" s="2">
        <f>IF(AF$4=$E117, $I117*AF$57,0) + IF(AF$4&gt;$E117,MIN(AF117,$I117-SUM($J117:AF117)))</f>
        <v>5.0198352311486598</v>
      </c>
      <c r="AH117" s="2">
        <f>IF(AG$4=$E117, $I117*AG$57,0) + IF(AG$4&gt;$E117,MIN(AG117,$I117-SUM($J117:AG117)))</f>
        <v>5.0198352311486598</v>
      </c>
      <c r="AI117" s="2">
        <f>IF(AH$4=$E117, $I117*AH$57,0) + IF(AH$4&gt;$E117,MIN(AH117,$I117-SUM($J117:AH117)))</f>
        <v>5.0198352311486598</v>
      </c>
      <c r="AJ117" s="2">
        <f>IF(AI$4=$E117, $I117*AI$57,0) + IF(AI$4&gt;$E117,MIN(AI117,$I117-SUM($J117:AI117)))</f>
        <v>5.0198352311486598</v>
      </c>
      <c r="AK117" s="2">
        <f>IF(AJ$4=$E117, $I117*AJ$57,0) + IF(AJ$4&gt;$E117,MIN(AJ117,$I117-SUM($J117:AJ117)))</f>
        <v>5.0198352311486598</v>
      </c>
      <c r="AL117" s="2">
        <f>IF(AK$4=$E117, $I117*AK$57,0) + IF(AK$4&gt;$E117,MIN(AK117,$I117-SUM($J117:AK117)))</f>
        <v>5.0198352311486332</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 outlineLevel="1">
      <c r="E118" s="44">
        <f>INDEX($K$4:$AV$4,,COUNT(E$109:E117)+1)</f>
        <v>36250</v>
      </c>
      <c r="G118" s="2" t="s">
        <v>101</v>
      </c>
      <c r="I118" s="2">
        <f t="shared" si="64"/>
        <v>111.19383237494276</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5.5596916187471379</v>
      </c>
      <c r="U118" s="2">
        <f>IF(T$4=$E118, $I118*T$57,0) + IF(T$4&gt;$E118,MIN(T118,$I118-SUM($J118:T118)))</f>
        <v>5.5596916187471379</v>
      </c>
      <c r="V118" s="2">
        <f>IF(U$4=$E118, $I118*U$57,0) + IF(U$4&gt;$E118,MIN(U118,$I118-SUM($J118:U118)))</f>
        <v>5.5596916187471379</v>
      </c>
      <c r="W118" s="2">
        <f>IF(V$4=$E118, $I118*V$57,0) + IF(V$4&gt;$E118,MIN(V118,$I118-SUM($J118:V118)))</f>
        <v>5.5596916187471379</v>
      </c>
      <c r="X118" s="2">
        <f>IF(W$4=$E118, $I118*W$57,0) + IF(W$4&gt;$E118,MIN(W118,$I118-SUM($J118:W118)))</f>
        <v>5.5596916187471379</v>
      </c>
      <c r="Y118" s="2">
        <f>IF(X$4=$E118, $I118*X$57,0) + IF(X$4&gt;$E118,MIN(X118,$I118-SUM($J118:X118)))</f>
        <v>5.5596916187471379</v>
      </c>
      <c r="Z118" s="2">
        <f>IF(Y$4=$E118, $I118*Y$57,0) + IF(Y$4&gt;$E118,MIN(Y118,$I118-SUM($J118:Y118)))</f>
        <v>5.5596916187471379</v>
      </c>
      <c r="AA118" s="2">
        <f>IF(Z$4=$E118, $I118*Z$57,0) + IF(Z$4&gt;$E118,MIN(Z118,$I118-SUM($J118:Z118)))</f>
        <v>5.5596916187471379</v>
      </c>
      <c r="AB118" s="2">
        <f>IF(AA$4=$E118, $I118*AA$57,0) + IF(AA$4&gt;$E118,MIN(AA118,$I118-SUM($J118:AA118)))</f>
        <v>5.5596916187471379</v>
      </c>
      <c r="AC118" s="2">
        <f>IF(AB$4=$E118, $I118*AB$57,0) + IF(AB$4&gt;$E118,MIN(AB118,$I118-SUM($J118:AB118)))</f>
        <v>5.5596916187471379</v>
      </c>
      <c r="AD118" s="2">
        <f>IF(AC$4=$E118, $I118*AC$57,0) + IF(AC$4&gt;$E118,MIN(AC118,$I118-SUM($J118:AC118)))</f>
        <v>5.5596916187471379</v>
      </c>
      <c r="AE118" s="2">
        <f>IF(AD$4=$E118, $I118*AD$57,0) + IF(AD$4&gt;$E118,MIN(AD118,$I118-SUM($J118:AD118)))</f>
        <v>5.5596916187471379</v>
      </c>
      <c r="AF118" s="2">
        <f>IF(AE$4=$E118, $I118*AE$57,0) + IF(AE$4&gt;$E118,MIN(AE118,$I118-SUM($J118:AE118)))</f>
        <v>5.5596916187471379</v>
      </c>
      <c r="AG118" s="2">
        <f>IF(AF$4=$E118, $I118*AF$57,0) + IF(AF$4&gt;$E118,MIN(AF118,$I118-SUM($J118:AF118)))</f>
        <v>5.5596916187471379</v>
      </c>
      <c r="AH118" s="2">
        <f>IF(AG$4=$E118, $I118*AG$57,0) + IF(AG$4&gt;$E118,MIN(AG118,$I118-SUM($J118:AG118)))</f>
        <v>5.5596916187471379</v>
      </c>
      <c r="AI118" s="2">
        <f>IF(AH$4=$E118, $I118*AH$57,0) + IF(AH$4&gt;$E118,MIN(AH118,$I118-SUM($J118:AH118)))</f>
        <v>5.5596916187471379</v>
      </c>
      <c r="AJ118" s="2">
        <f>IF(AI$4=$E118, $I118*AI$57,0) + IF(AI$4&gt;$E118,MIN(AI118,$I118-SUM($J118:AI118)))</f>
        <v>5.5596916187471379</v>
      </c>
      <c r="AK118" s="2">
        <f>IF(AJ$4=$E118, $I118*AJ$57,0) + IF(AJ$4&gt;$E118,MIN(AJ118,$I118-SUM($J118:AJ118)))</f>
        <v>5.5596916187471379</v>
      </c>
      <c r="AL118" s="2">
        <f>IF(AK$4=$E118, $I118*AK$57,0) + IF(AK$4&gt;$E118,MIN(AK118,$I118-SUM($J118:AK118)))</f>
        <v>5.5596916187471379</v>
      </c>
      <c r="AM118" s="2">
        <f>IF(AL$4=$E118, $I118*AL$57,0) + IF(AL$4&gt;$E118,MIN(AL118,$I118-SUM($J118:AL118)))</f>
        <v>5.5596916187471379</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 outlineLevel="1">
      <c r="E119" s="44">
        <f>INDEX($K$4:$AV$4,,COUNT(E$109:E118)+1)</f>
        <v>36616</v>
      </c>
      <c r="G119" s="2" t="s">
        <v>101</v>
      </c>
      <c r="I119" s="2">
        <f t="shared" si="64"/>
        <v>103.09538122432622</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5.1547690612163111</v>
      </c>
      <c r="V119" s="2">
        <f>IF(U$4=$E119, $I119*U$57,0) + IF(U$4&gt;$E119,MIN(U119,$I119-SUM($J119:U119)))</f>
        <v>5.1547690612163111</v>
      </c>
      <c r="W119" s="2">
        <f>IF(V$4=$E119, $I119*V$57,0) + IF(V$4&gt;$E119,MIN(V119,$I119-SUM($J119:V119)))</f>
        <v>5.1547690612163111</v>
      </c>
      <c r="X119" s="2">
        <f>IF(W$4=$E119, $I119*W$57,0) + IF(W$4&gt;$E119,MIN(W119,$I119-SUM($J119:W119)))</f>
        <v>5.1547690612163111</v>
      </c>
      <c r="Y119" s="2">
        <f>IF(X$4=$E119, $I119*X$57,0) + IF(X$4&gt;$E119,MIN(X119,$I119-SUM($J119:X119)))</f>
        <v>5.1547690612163111</v>
      </c>
      <c r="Z119" s="2">
        <f>IF(Y$4=$E119, $I119*Y$57,0) + IF(Y$4&gt;$E119,MIN(Y119,$I119-SUM($J119:Y119)))</f>
        <v>5.1547690612163111</v>
      </c>
      <c r="AA119" s="2">
        <f>IF(Z$4=$E119, $I119*Z$57,0) + IF(Z$4&gt;$E119,MIN(Z119,$I119-SUM($J119:Z119)))</f>
        <v>5.1547690612163111</v>
      </c>
      <c r="AB119" s="2">
        <f>IF(AA$4=$E119, $I119*AA$57,0) + IF(AA$4&gt;$E119,MIN(AA119,$I119-SUM($J119:AA119)))</f>
        <v>5.1547690612163111</v>
      </c>
      <c r="AC119" s="2">
        <f>IF(AB$4=$E119, $I119*AB$57,0) + IF(AB$4&gt;$E119,MIN(AB119,$I119-SUM($J119:AB119)))</f>
        <v>5.1547690612163111</v>
      </c>
      <c r="AD119" s="2">
        <f>IF(AC$4=$E119, $I119*AC$57,0) + IF(AC$4&gt;$E119,MIN(AC119,$I119-SUM($J119:AC119)))</f>
        <v>5.1547690612163111</v>
      </c>
      <c r="AE119" s="2">
        <f>IF(AD$4=$E119, $I119*AD$57,0) + IF(AD$4&gt;$E119,MIN(AD119,$I119-SUM($J119:AD119)))</f>
        <v>5.1547690612163111</v>
      </c>
      <c r="AF119" s="2">
        <f>IF(AE$4=$E119, $I119*AE$57,0) + IF(AE$4&gt;$E119,MIN(AE119,$I119-SUM($J119:AE119)))</f>
        <v>5.1547690612163111</v>
      </c>
      <c r="AG119" s="2">
        <f>IF(AF$4=$E119, $I119*AF$57,0) + IF(AF$4&gt;$E119,MIN(AF119,$I119-SUM($J119:AF119)))</f>
        <v>5.1547690612163111</v>
      </c>
      <c r="AH119" s="2">
        <f>IF(AG$4=$E119, $I119*AG$57,0) + IF(AG$4&gt;$E119,MIN(AG119,$I119-SUM($J119:AG119)))</f>
        <v>5.1547690612163111</v>
      </c>
      <c r="AI119" s="2">
        <f>IF(AH$4=$E119, $I119*AH$57,0) + IF(AH$4&gt;$E119,MIN(AH119,$I119-SUM($J119:AH119)))</f>
        <v>5.1547690612163111</v>
      </c>
      <c r="AJ119" s="2">
        <f>IF(AI$4=$E119, $I119*AI$57,0) + IF(AI$4&gt;$E119,MIN(AI119,$I119-SUM($J119:AI119)))</f>
        <v>5.1547690612163111</v>
      </c>
      <c r="AK119" s="2">
        <f>IF(AJ$4=$E119, $I119*AJ$57,0) + IF(AJ$4&gt;$E119,MIN(AJ119,$I119-SUM($J119:AJ119)))</f>
        <v>5.1547690612163111</v>
      </c>
      <c r="AL119" s="2">
        <f>IF(AK$4=$E119, $I119*AK$57,0) + IF(AK$4&gt;$E119,MIN(AK119,$I119-SUM($J119:AK119)))</f>
        <v>5.1547690612163111</v>
      </c>
      <c r="AM119" s="2">
        <f>IF(AL$4=$E119, $I119*AL$57,0) + IF(AL$4&gt;$E119,MIN(AL119,$I119-SUM($J119:AL119)))</f>
        <v>5.1547690612163111</v>
      </c>
      <c r="AN119" s="2">
        <f>IF(AM$4=$E119, $I119*AM$57,0) + IF(AM$4&gt;$E119,MIN(AM119,$I119-SUM($J119:AM119)))</f>
        <v>5.1547690612162853</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 outlineLevel="1">
      <c r="E120" s="44">
        <f>INDEX($K$4:$AV$4,,COUNT(E$109:E119)+1)</f>
        <v>36981</v>
      </c>
      <c r="G120" s="2" t="s">
        <v>101</v>
      </c>
      <c r="I120" s="2">
        <f t="shared" si="64"/>
        <v>109.03541200505889</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5.4517706002529449</v>
      </c>
      <c r="W120" s="2">
        <f>IF(V$4=$E120, $I120*V$57,0) + IF(V$4&gt;$E120,MIN(V120,$I120-SUM($J120:V120)))</f>
        <v>5.4517706002529449</v>
      </c>
      <c r="X120" s="2">
        <f>IF(W$4=$E120, $I120*W$57,0) + IF(W$4&gt;$E120,MIN(W120,$I120-SUM($J120:W120)))</f>
        <v>5.4517706002529449</v>
      </c>
      <c r="Y120" s="2">
        <f>IF(X$4=$E120, $I120*X$57,0) + IF(X$4&gt;$E120,MIN(X120,$I120-SUM($J120:X120)))</f>
        <v>5.4517706002529449</v>
      </c>
      <c r="Z120" s="2">
        <f>IF(Y$4=$E120, $I120*Y$57,0) + IF(Y$4&gt;$E120,MIN(Y120,$I120-SUM($J120:Y120)))</f>
        <v>5.4517706002529449</v>
      </c>
      <c r="AA120" s="2">
        <f>IF(Z$4=$E120, $I120*Z$57,0) + IF(Z$4&gt;$E120,MIN(Z120,$I120-SUM($J120:Z120)))</f>
        <v>5.4517706002529449</v>
      </c>
      <c r="AB120" s="2">
        <f>IF(AA$4=$E120, $I120*AA$57,0) + IF(AA$4&gt;$E120,MIN(AA120,$I120-SUM($J120:AA120)))</f>
        <v>5.4517706002529449</v>
      </c>
      <c r="AC120" s="2">
        <f>IF(AB$4=$E120, $I120*AB$57,0) + IF(AB$4&gt;$E120,MIN(AB120,$I120-SUM($J120:AB120)))</f>
        <v>5.4517706002529449</v>
      </c>
      <c r="AD120" s="2">
        <f>IF(AC$4=$E120, $I120*AC$57,0) + IF(AC$4&gt;$E120,MIN(AC120,$I120-SUM($J120:AC120)))</f>
        <v>5.4517706002529449</v>
      </c>
      <c r="AE120" s="2">
        <f>IF(AD$4=$E120, $I120*AD$57,0) + IF(AD$4&gt;$E120,MIN(AD120,$I120-SUM($J120:AD120)))</f>
        <v>5.4517706002529449</v>
      </c>
      <c r="AF120" s="2">
        <f>IF(AE$4=$E120, $I120*AE$57,0) + IF(AE$4&gt;$E120,MIN(AE120,$I120-SUM($J120:AE120)))</f>
        <v>5.4517706002529449</v>
      </c>
      <c r="AG120" s="2">
        <f>IF(AF$4=$E120, $I120*AF$57,0) + IF(AF$4&gt;$E120,MIN(AF120,$I120-SUM($J120:AF120)))</f>
        <v>5.4517706002529449</v>
      </c>
      <c r="AH120" s="2">
        <f>IF(AG$4=$E120, $I120*AG$57,0) + IF(AG$4&gt;$E120,MIN(AG120,$I120-SUM($J120:AG120)))</f>
        <v>5.4517706002529449</v>
      </c>
      <c r="AI120" s="2">
        <f>IF(AH$4=$E120, $I120*AH$57,0) + IF(AH$4&gt;$E120,MIN(AH120,$I120-SUM($J120:AH120)))</f>
        <v>5.4517706002529449</v>
      </c>
      <c r="AJ120" s="2">
        <f>IF(AI$4=$E120, $I120*AI$57,0) + IF(AI$4&gt;$E120,MIN(AI120,$I120-SUM($J120:AI120)))</f>
        <v>5.4517706002529449</v>
      </c>
      <c r="AK120" s="2">
        <f>IF(AJ$4=$E120, $I120*AJ$57,0) + IF(AJ$4&gt;$E120,MIN(AJ120,$I120-SUM($J120:AJ120)))</f>
        <v>5.4517706002529449</v>
      </c>
      <c r="AL120" s="2">
        <f>IF(AK$4=$E120, $I120*AK$57,0) + IF(AK$4&gt;$E120,MIN(AK120,$I120-SUM($J120:AK120)))</f>
        <v>5.4517706002529449</v>
      </c>
      <c r="AM120" s="2">
        <f>IF(AL$4=$E120, $I120*AL$57,0) + IF(AL$4&gt;$E120,MIN(AL120,$I120-SUM($J120:AL120)))</f>
        <v>5.4517706002529449</v>
      </c>
      <c r="AN120" s="2">
        <f>IF(AM$4=$E120, $I120*AM$57,0) + IF(AM$4&gt;$E120,MIN(AM120,$I120-SUM($J120:AM120)))</f>
        <v>5.4517706002529449</v>
      </c>
      <c r="AO120" s="2">
        <f>IF(AN$4=$E120, $I120*AN$57,0) + IF(AN$4&gt;$E120,MIN(AN120,$I120-SUM($J120:AN120)))</f>
        <v>5.4517706002529449</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 outlineLevel="1">
      <c r="E121" s="44">
        <f>INDEX($K$4:$AV$4,,COUNT(E$109:E120)+1)</f>
        <v>37346</v>
      </c>
      <c r="G121" s="2" t="s">
        <v>101</v>
      </c>
      <c r="I121" s="2">
        <f t="shared" si="64"/>
        <v>141.77522166307213</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7.0887610831536065</v>
      </c>
      <c r="X121" s="2">
        <f>IF(W$4=$E121, $I121*W$57,0) + IF(W$4&gt;$E121,MIN(W121,$I121-SUM($J121:W121)))</f>
        <v>7.0887610831536065</v>
      </c>
      <c r="Y121" s="2">
        <f>IF(X$4=$E121, $I121*X$57,0) + IF(X$4&gt;$E121,MIN(X121,$I121-SUM($J121:X121)))</f>
        <v>7.0887610831536065</v>
      </c>
      <c r="Z121" s="2">
        <f>IF(Y$4=$E121, $I121*Y$57,0) + IF(Y$4&gt;$E121,MIN(Y121,$I121-SUM($J121:Y121)))</f>
        <v>7.0887610831536065</v>
      </c>
      <c r="AA121" s="2">
        <f>IF(Z$4=$E121, $I121*Z$57,0) + IF(Z$4&gt;$E121,MIN(Z121,$I121-SUM($J121:Z121)))</f>
        <v>7.0887610831536065</v>
      </c>
      <c r="AB121" s="2">
        <f>IF(AA$4=$E121, $I121*AA$57,0) + IF(AA$4&gt;$E121,MIN(AA121,$I121-SUM($J121:AA121)))</f>
        <v>7.0887610831536065</v>
      </c>
      <c r="AC121" s="2">
        <f>IF(AB$4=$E121, $I121*AB$57,0) + IF(AB$4&gt;$E121,MIN(AB121,$I121-SUM($J121:AB121)))</f>
        <v>7.0887610831536065</v>
      </c>
      <c r="AD121" s="2">
        <f>IF(AC$4=$E121, $I121*AC$57,0) + IF(AC$4&gt;$E121,MIN(AC121,$I121-SUM($J121:AC121)))</f>
        <v>7.0887610831536065</v>
      </c>
      <c r="AE121" s="2">
        <f>IF(AD$4=$E121, $I121*AD$57,0) + IF(AD$4&gt;$E121,MIN(AD121,$I121-SUM($J121:AD121)))</f>
        <v>7.0887610831536065</v>
      </c>
      <c r="AF121" s="2">
        <f>IF(AE$4=$E121, $I121*AE$57,0) + IF(AE$4&gt;$E121,MIN(AE121,$I121-SUM($J121:AE121)))</f>
        <v>7.0887610831536065</v>
      </c>
      <c r="AG121" s="2">
        <f>IF(AF$4=$E121, $I121*AF$57,0) + IF(AF$4&gt;$E121,MIN(AF121,$I121-SUM($J121:AF121)))</f>
        <v>7.0887610831536065</v>
      </c>
      <c r="AH121" s="2">
        <f>IF(AG$4=$E121, $I121*AG$57,0) + IF(AG$4&gt;$E121,MIN(AG121,$I121-SUM($J121:AG121)))</f>
        <v>7.0887610831536065</v>
      </c>
      <c r="AI121" s="2">
        <f>IF(AH$4=$E121, $I121*AH$57,0) + IF(AH$4&gt;$E121,MIN(AH121,$I121-SUM($J121:AH121)))</f>
        <v>7.0887610831536065</v>
      </c>
      <c r="AJ121" s="2">
        <f>IF(AI$4=$E121, $I121*AI$57,0) + IF(AI$4&gt;$E121,MIN(AI121,$I121-SUM($J121:AI121)))</f>
        <v>7.0887610831536065</v>
      </c>
      <c r="AK121" s="2">
        <f>IF(AJ$4=$E121, $I121*AJ$57,0) + IF(AJ$4&gt;$E121,MIN(AJ121,$I121-SUM($J121:AJ121)))</f>
        <v>7.0887610831536065</v>
      </c>
      <c r="AL121" s="2">
        <f>IF(AK$4=$E121, $I121*AK$57,0) + IF(AK$4&gt;$E121,MIN(AK121,$I121-SUM($J121:AK121)))</f>
        <v>7.0887610831536065</v>
      </c>
      <c r="AM121" s="2">
        <f>IF(AL$4=$E121, $I121*AL$57,0) + IF(AL$4&gt;$E121,MIN(AL121,$I121-SUM($J121:AL121)))</f>
        <v>7.0887610831536065</v>
      </c>
      <c r="AN121" s="2">
        <f>IF(AM$4=$E121, $I121*AM$57,0) + IF(AM$4&gt;$E121,MIN(AM121,$I121-SUM($J121:AM121)))</f>
        <v>7.0887610831536065</v>
      </c>
      <c r="AO121" s="2">
        <f>IF(AN$4=$E121, $I121*AN$57,0) + IF(AN$4&gt;$E121,MIN(AN121,$I121-SUM($J121:AN121)))</f>
        <v>7.0887610831536065</v>
      </c>
      <c r="AP121" s="2">
        <f>IF(AO$4=$E121, $I121*AO$57,0) + IF(AO$4&gt;$E121,MIN(AO121,$I121-SUM($J121:AO121)))</f>
        <v>7.0887610831536065</v>
      </c>
      <c r="AQ121" s="57">
        <f>IF(AP$4=$E121, $I121*AP$57,0) + IF(AP$4&gt;$E121,MIN(AP121,$I121-SUM($J121:AP121)))</f>
        <v>5.6843418860808015E-14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 outlineLevel="1">
      <c r="E122" s="44">
        <f>INDEX($K$4:$AV$4,,COUNT(E$109:E121)+1)</f>
        <v>37711</v>
      </c>
      <c r="G122" s="2" t="s">
        <v>101</v>
      </c>
      <c r="I122" s="2">
        <f t="shared" si="64"/>
        <v>131.24376820248207</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6.5621884101241044</v>
      </c>
      <c r="Y122" s="2">
        <f>IF(X$4=$E122, $I122*X$57,0) + IF(X$4&gt;$E122,MIN(X122,$I122-SUM($J122:X122)))</f>
        <v>6.5621884101241044</v>
      </c>
      <c r="Z122" s="2">
        <f>IF(Y$4=$E122, $I122*Y$57,0) + IF(Y$4&gt;$E122,MIN(Y122,$I122-SUM($J122:Y122)))</f>
        <v>6.5621884101241044</v>
      </c>
      <c r="AA122" s="2">
        <f>IF(Z$4=$E122, $I122*Z$57,0) + IF(Z$4&gt;$E122,MIN(Z122,$I122-SUM($J122:Z122)))</f>
        <v>6.5621884101241044</v>
      </c>
      <c r="AB122" s="2">
        <f>IF(AA$4=$E122, $I122*AA$57,0) + IF(AA$4&gt;$E122,MIN(AA122,$I122-SUM($J122:AA122)))</f>
        <v>6.5621884101241044</v>
      </c>
      <c r="AC122" s="2">
        <f>IF(AB$4=$E122, $I122*AB$57,0) + IF(AB$4&gt;$E122,MIN(AB122,$I122-SUM($J122:AB122)))</f>
        <v>6.5621884101241044</v>
      </c>
      <c r="AD122" s="2">
        <f>IF(AC$4=$E122, $I122*AC$57,0) + IF(AC$4&gt;$E122,MIN(AC122,$I122-SUM($J122:AC122)))</f>
        <v>6.5621884101241044</v>
      </c>
      <c r="AE122" s="2">
        <f>IF(AD$4=$E122, $I122*AD$57,0) + IF(AD$4&gt;$E122,MIN(AD122,$I122-SUM($J122:AD122)))</f>
        <v>6.5621884101241044</v>
      </c>
      <c r="AF122" s="2">
        <f>IF(AE$4=$E122, $I122*AE$57,0) + IF(AE$4&gt;$E122,MIN(AE122,$I122-SUM($J122:AE122)))</f>
        <v>6.5621884101241044</v>
      </c>
      <c r="AG122" s="2">
        <f>IF(AF$4=$E122, $I122*AF$57,0) + IF(AF$4&gt;$E122,MIN(AF122,$I122-SUM($J122:AF122)))</f>
        <v>6.5621884101241044</v>
      </c>
      <c r="AH122" s="2">
        <f>IF(AG$4=$E122, $I122*AG$57,0) + IF(AG$4&gt;$E122,MIN(AG122,$I122-SUM($J122:AG122)))</f>
        <v>6.5621884101241044</v>
      </c>
      <c r="AI122" s="2">
        <f>IF(AH$4=$E122, $I122*AH$57,0) + IF(AH$4&gt;$E122,MIN(AH122,$I122-SUM($J122:AH122)))</f>
        <v>6.5621884101241044</v>
      </c>
      <c r="AJ122" s="2">
        <f>IF(AI$4=$E122, $I122*AI$57,0) + IF(AI$4&gt;$E122,MIN(AI122,$I122-SUM($J122:AI122)))</f>
        <v>6.5621884101241044</v>
      </c>
      <c r="AK122" s="2">
        <f>IF(AJ$4=$E122, $I122*AJ$57,0) + IF(AJ$4&gt;$E122,MIN(AJ122,$I122-SUM($J122:AJ122)))</f>
        <v>6.5621884101241044</v>
      </c>
      <c r="AL122" s="2">
        <f>IF(AK$4=$E122, $I122*AK$57,0) + IF(AK$4&gt;$E122,MIN(AK122,$I122-SUM($J122:AK122)))</f>
        <v>6.5621884101241044</v>
      </c>
      <c r="AM122" s="2">
        <f>IF(AL$4=$E122, $I122*AL$57,0) + IF(AL$4&gt;$E122,MIN(AL122,$I122-SUM($J122:AL122)))</f>
        <v>6.5621884101241044</v>
      </c>
      <c r="AN122" s="2">
        <f>IF(AM$4=$E122, $I122*AM$57,0) + IF(AM$4&gt;$E122,MIN(AM122,$I122-SUM($J122:AM122)))</f>
        <v>6.5621884101241044</v>
      </c>
      <c r="AO122" s="2">
        <f>IF(AN$4=$E122, $I122*AN$57,0) + IF(AN$4&gt;$E122,MIN(AN122,$I122-SUM($J122:AN122)))</f>
        <v>6.5621884101241044</v>
      </c>
      <c r="AP122" s="2">
        <f>IF(AO$4=$E122, $I122*AO$57,0) + IF(AO$4&gt;$E122,MIN(AO122,$I122-SUM($J122:AO122)))</f>
        <v>6.5621884101241044</v>
      </c>
      <c r="AQ122" s="57">
        <f>IF(AP$4=$E122, $I122*AP$57,0) + IF(AP$4&gt;$E122,MIN(AP122,$I122-SUM($J122:AP122)))</f>
        <v>6.5621884101240369</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 outlineLevel="1">
      <c r="E123" s="44">
        <f>INDEX($K$4:$AV$4,,COUNT(E$109:E122)+1)</f>
        <v>38077</v>
      </c>
      <c r="G123" s="2" t="s">
        <v>101</v>
      </c>
      <c r="I123" s="2">
        <f t="shared" si="64"/>
        <v>131.38557793305023</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6.569278896652512</v>
      </c>
      <c r="Z123" s="2">
        <f>IF(Y$4=$E123, $I123*Y$57,0) + IF(Y$4&gt;$E123,MIN(Y123,$I123-SUM($J123:Y123)))</f>
        <v>6.569278896652512</v>
      </c>
      <c r="AA123" s="2">
        <f>IF(Z$4=$E123, $I123*Z$57,0) + IF(Z$4&gt;$E123,MIN(Z123,$I123-SUM($J123:Z123)))</f>
        <v>6.569278896652512</v>
      </c>
      <c r="AB123" s="2">
        <f>IF(AA$4=$E123, $I123*AA$57,0) + IF(AA$4&gt;$E123,MIN(AA123,$I123-SUM($J123:AA123)))</f>
        <v>6.569278896652512</v>
      </c>
      <c r="AC123" s="2">
        <f>IF(AB$4=$E123, $I123*AB$57,0) + IF(AB$4&gt;$E123,MIN(AB123,$I123-SUM($J123:AB123)))</f>
        <v>6.569278896652512</v>
      </c>
      <c r="AD123" s="2">
        <f>IF(AC$4=$E123, $I123*AC$57,0) + IF(AC$4&gt;$E123,MIN(AC123,$I123-SUM($J123:AC123)))</f>
        <v>6.569278896652512</v>
      </c>
      <c r="AE123" s="2">
        <f>IF(AD$4=$E123, $I123*AD$57,0) + IF(AD$4&gt;$E123,MIN(AD123,$I123-SUM($J123:AD123)))</f>
        <v>6.569278896652512</v>
      </c>
      <c r="AF123" s="2">
        <f>IF(AE$4=$E123, $I123*AE$57,0) + IF(AE$4&gt;$E123,MIN(AE123,$I123-SUM($J123:AE123)))</f>
        <v>6.569278896652512</v>
      </c>
      <c r="AG123" s="2">
        <f>IF(AF$4=$E123, $I123*AF$57,0) + IF(AF$4&gt;$E123,MIN(AF123,$I123-SUM($J123:AF123)))</f>
        <v>6.569278896652512</v>
      </c>
      <c r="AH123" s="2">
        <f>IF(AG$4=$E123, $I123*AG$57,0) + IF(AG$4&gt;$E123,MIN(AG123,$I123-SUM($J123:AG123)))</f>
        <v>6.569278896652512</v>
      </c>
      <c r="AI123" s="2">
        <f>IF(AH$4=$E123, $I123*AH$57,0) + IF(AH$4&gt;$E123,MIN(AH123,$I123-SUM($J123:AH123)))</f>
        <v>6.569278896652512</v>
      </c>
      <c r="AJ123" s="2">
        <f>IF(AI$4=$E123, $I123*AI$57,0) + IF(AI$4&gt;$E123,MIN(AI123,$I123-SUM($J123:AI123)))</f>
        <v>6.569278896652512</v>
      </c>
      <c r="AK123" s="2">
        <f>IF(AJ$4=$E123, $I123*AJ$57,0) + IF(AJ$4&gt;$E123,MIN(AJ123,$I123-SUM($J123:AJ123)))</f>
        <v>6.569278896652512</v>
      </c>
      <c r="AL123" s="2">
        <f>IF(AK$4=$E123, $I123*AK$57,0) + IF(AK$4&gt;$E123,MIN(AK123,$I123-SUM($J123:AK123)))</f>
        <v>6.569278896652512</v>
      </c>
      <c r="AM123" s="2">
        <f>IF(AL$4=$E123, $I123*AL$57,0) + IF(AL$4&gt;$E123,MIN(AL123,$I123-SUM($J123:AL123)))</f>
        <v>6.569278896652512</v>
      </c>
      <c r="AN123" s="2">
        <f>IF(AM$4=$E123, $I123*AM$57,0) + IF(AM$4&gt;$E123,MIN(AM123,$I123-SUM($J123:AM123)))</f>
        <v>6.569278896652512</v>
      </c>
      <c r="AO123" s="2">
        <f>IF(AN$4=$E123, $I123*AN$57,0) + IF(AN$4&gt;$E123,MIN(AN123,$I123-SUM($J123:AN123)))</f>
        <v>6.569278896652512</v>
      </c>
      <c r="AP123" s="2">
        <f>IF(AO$4=$E123, $I123*AO$57,0) + IF(AO$4&gt;$E123,MIN(AO123,$I123-SUM($J123:AO123)))</f>
        <v>6.569278896652512</v>
      </c>
      <c r="AQ123" s="57">
        <f>IF(AP$4=$E123, $I123*AP$57,0) + IF(AP$4&gt;$E123,MIN(AP123,$I123-SUM($J123:AP123)))</f>
        <v>6.569278896652512</v>
      </c>
      <c r="AR123" s="2">
        <f>IF(AQ$4=$E123, $I123*AQ$57,0) + IF(AQ$4&gt;$E123,MIN(AQ123,$I123-SUM($J123:AQ123)))</f>
        <v>6.569278896652512</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6" outlineLevel="1">
      <c r="E124" s="44">
        <f>INDEX($K$4:$AV$4,,COUNT(E$109:E123)+1)</f>
        <v>38442</v>
      </c>
      <c r="G124" s="2" t="s">
        <v>101</v>
      </c>
      <c r="I124" s="2">
        <f t="shared" si="64"/>
        <v>116.38578715518474</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5.8192893577592377</v>
      </c>
      <c r="AA124" s="2">
        <f>IF(Z$4=$E124, $I124*Z$57,0) + IF(Z$4&gt;$E124,MIN(Z124,$I124-SUM($J124:Z124)))</f>
        <v>5.8192893577592377</v>
      </c>
      <c r="AB124" s="2">
        <f>IF(AA$4=$E124, $I124*AA$57,0) + IF(AA$4&gt;$E124,MIN(AA124,$I124-SUM($J124:AA124)))</f>
        <v>5.8192893577592377</v>
      </c>
      <c r="AC124" s="2">
        <f>IF(AB$4=$E124, $I124*AB$57,0) + IF(AB$4&gt;$E124,MIN(AB124,$I124-SUM($J124:AB124)))</f>
        <v>5.8192893577592377</v>
      </c>
      <c r="AD124" s="2">
        <f>IF(AC$4=$E124, $I124*AC$57,0) + IF(AC$4&gt;$E124,MIN(AC124,$I124-SUM($J124:AC124)))</f>
        <v>5.8192893577592377</v>
      </c>
      <c r="AE124" s="2">
        <f>IF(AD$4=$E124, $I124*AD$57,0) + IF(AD$4&gt;$E124,MIN(AD124,$I124-SUM($J124:AD124)))</f>
        <v>5.8192893577592377</v>
      </c>
      <c r="AF124" s="2">
        <f>IF(AE$4=$E124, $I124*AE$57,0) + IF(AE$4&gt;$E124,MIN(AE124,$I124-SUM($J124:AE124)))</f>
        <v>5.8192893577592377</v>
      </c>
      <c r="AG124" s="2">
        <f>IF(AF$4=$E124, $I124*AF$57,0) + IF(AF$4&gt;$E124,MIN(AF124,$I124-SUM($J124:AF124)))</f>
        <v>5.8192893577592377</v>
      </c>
      <c r="AH124" s="2">
        <f>IF(AG$4=$E124, $I124*AG$57,0) + IF(AG$4&gt;$E124,MIN(AG124,$I124-SUM($J124:AG124)))</f>
        <v>5.8192893577592377</v>
      </c>
      <c r="AI124" s="2">
        <f>IF(AH$4=$E124, $I124*AH$57,0) + IF(AH$4&gt;$E124,MIN(AH124,$I124-SUM($J124:AH124)))</f>
        <v>5.8192893577592377</v>
      </c>
      <c r="AJ124" s="2">
        <f>IF(AI$4=$E124, $I124*AI$57,0) + IF(AI$4&gt;$E124,MIN(AI124,$I124-SUM($J124:AI124)))</f>
        <v>5.8192893577592377</v>
      </c>
      <c r="AK124" s="2">
        <f>IF(AJ$4=$E124, $I124*AJ$57,0) + IF(AJ$4&gt;$E124,MIN(AJ124,$I124-SUM($J124:AJ124)))</f>
        <v>5.8192893577592377</v>
      </c>
      <c r="AL124" s="2">
        <f>IF(AK$4=$E124, $I124*AK$57,0) + IF(AK$4&gt;$E124,MIN(AK124,$I124-SUM($J124:AK124)))</f>
        <v>5.8192893577592377</v>
      </c>
      <c r="AM124" s="2">
        <f>IF(AL$4=$E124, $I124*AL$57,0) + IF(AL$4&gt;$E124,MIN(AL124,$I124-SUM($J124:AL124)))</f>
        <v>5.8192893577592377</v>
      </c>
      <c r="AN124" s="2">
        <f>IF(AM$4=$E124, $I124*AM$57,0) + IF(AM$4&gt;$E124,MIN(AM124,$I124-SUM($J124:AM124)))</f>
        <v>5.8192893577592377</v>
      </c>
      <c r="AO124" s="2">
        <f>IF(AN$4=$E124, $I124*AN$57,0) + IF(AN$4&gt;$E124,MIN(AN124,$I124-SUM($J124:AN124)))</f>
        <v>5.8192893577592377</v>
      </c>
      <c r="AP124" s="2">
        <f>IF(AO$4=$E124, $I124*AO$57,0) + IF(AO$4&gt;$E124,MIN(AO124,$I124-SUM($J124:AO124)))</f>
        <v>5.8192893577592377</v>
      </c>
      <c r="AQ124" s="57">
        <f>IF(AP$4=$E124, $I124*AP$57,0) + IF(AP$4&gt;$E124,MIN(AP124,$I124-SUM($J124:AP124)))</f>
        <v>5.8192893577592377</v>
      </c>
      <c r="AR124" s="2">
        <f>IF(AQ$4=$E124, $I124*AQ$57,0) + IF(AQ$4&gt;$E124,MIN(AQ124,$I124-SUM($J124:AQ124)))</f>
        <v>5.8192893577592377</v>
      </c>
      <c r="AS124" s="2">
        <f>IF(AR$4=$E124, $I124*AR$57,0) + IF(AR$4&gt;$E124,MIN(AR124,$I124-SUM($J124:AR124)))</f>
        <v>5.8192893577592377</v>
      </c>
      <c r="AT124" s="2">
        <f>IF(AS$4=$E124, $I124*AS$57,0) + IF(AS$4&gt;$E124,MIN(AS124,$I124-SUM($J124:AS124)))</f>
        <v>4.2632564145606011E-14</v>
      </c>
      <c r="AU124" s="2">
        <f>IF(AT$4=$E124, $I124*AT$57,0) + IF(AT$4&gt;$E124,MIN(AT124,$I124-SUM($J124:AT124)))</f>
        <v>0</v>
      </c>
      <c r="AV124" s="2">
        <f>IF(AU$4=$E124, $I124*AU$57,0) + IF(AU$4&gt;$E124,MIN(AU124,$I124-SUM($J124:AU124)))</f>
        <v>0</v>
      </c>
      <c r="AW124" s="2"/>
    </row>
    <row r="125" spans="5:49" ht="16" outlineLevel="1">
      <c r="E125" s="44">
        <f>INDEX($K$4:$AV$4,,COUNT(E$109:E124)+1)</f>
        <v>38807</v>
      </c>
      <c r="G125" s="2" t="s">
        <v>101</v>
      </c>
      <c r="I125" s="2">
        <f t="shared" si="64"/>
        <v>118.21000616407133</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5.9105003082035665</v>
      </c>
      <c r="AB125" s="2">
        <f>IF(AA$4=$E125, $I125*AA$57,0) + IF(AA$4&gt;$E125,MIN(AA125,$I125-SUM($J125:AA125)))</f>
        <v>5.9105003082035665</v>
      </c>
      <c r="AC125" s="2">
        <f>IF(AB$4=$E125, $I125*AB$57,0) + IF(AB$4&gt;$E125,MIN(AB125,$I125-SUM($J125:AB125)))</f>
        <v>5.9105003082035665</v>
      </c>
      <c r="AD125" s="2">
        <f>IF(AC$4=$E125, $I125*AC$57,0) + IF(AC$4&gt;$E125,MIN(AC125,$I125-SUM($J125:AC125)))</f>
        <v>5.9105003082035665</v>
      </c>
      <c r="AE125" s="2">
        <f>IF(AD$4=$E125, $I125*AD$57,0) + IF(AD$4&gt;$E125,MIN(AD125,$I125-SUM($J125:AD125)))</f>
        <v>5.9105003082035665</v>
      </c>
      <c r="AF125" s="2">
        <f>IF(AE$4=$E125, $I125*AE$57,0) + IF(AE$4&gt;$E125,MIN(AE125,$I125-SUM($J125:AE125)))</f>
        <v>5.9105003082035665</v>
      </c>
      <c r="AG125" s="2">
        <f>IF(AF$4=$E125, $I125*AF$57,0) + IF(AF$4&gt;$E125,MIN(AF125,$I125-SUM($J125:AF125)))</f>
        <v>5.9105003082035665</v>
      </c>
      <c r="AH125" s="2">
        <f>IF(AG$4=$E125, $I125*AG$57,0) + IF(AG$4&gt;$E125,MIN(AG125,$I125-SUM($J125:AG125)))</f>
        <v>5.9105003082035665</v>
      </c>
      <c r="AI125" s="2">
        <f>IF(AH$4=$E125, $I125*AH$57,0) + IF(AH$4&gt;$E125,MIN(AH125,$I125-SUM($J125:AH125)))</f>
        <v>5.9105003082035665</v>
      </c>
      <c r="AJ125" s="2">
        <f>IF(AI$4=$E125, $I125*AI$57,0) + IF(AI$4&gt;$E125,MIN(AI125,$I125-SUM($J125:AI125)))</f>
        <v>5.9105003082035665</v>
      </c>
      <c r="AK125" s="2">
        <f>IF(AJ$4=$E125, $I125*AJ$57,0) + IF(AJ$4&gt;$E125,MIN(AJ125,$I125-SUM($J125:AJ125)))</f>
        <v>5.9105003082035665</v>
      </c>
      <c r="AL125" s="2">
        <f>IF(AK$4=$E125, $I125*AK$57,0) + IF(AK$4&gt;$E125,MIN(AK125,$I125-SUM($J125:AK125)))</f>
        <v>5.9105003082035665</v>
      </c>
      <c r="AM125" s="2">
        <f>IF(AL$4=$E125, $I125*AL$57,0) + IF(AL$4&gt;$E125,MIN(AL125,$I125-SUM($J125:AL125)))</f>
        <v>5.9105003082035665</v>
      </c>
      <c r="AN125" s="2">
        <f>IF(AM$4=$E125, $I125*AM$57,0) + IF(AM$4&gt;$E125,MIN(AM125,$I125-SUM($J125:AM125)))</f>
        <v>5.9105003082035665</v>
      </c>
      <c r="AO125" s="2">
        <f>IF(AN$4=$E125, $I125*AN$57,0) + IF(AN$4&gt;$E125,MIN(AN125,$I125-SUM($J125:AN125)))</f>
        <v>5.9105003082035665</v>
      </c>
      <c r="AP125" s="2">
        <f>IF(AO$4=$E125, $I125*AO$57,0) + IF(AO$4&gt;$E125,MIN(AO125,$I125-SUM($J125:AO125)))</f>
        <v>5.9105003082035665</v>
      </c>
      <c r="AQ125" s="57">
        <f>IF(AP$4=$E125, $I125*AP$57,0) + IF(AP$4&gt;$E125,MIN(AP125,$I125-SUM($J125:AP125)))</f>
        <v>5.9105003082035665</v>
      </c>
      <c r="AR125" s="2">
        <f>IF(AQ$4=$E125, $I125*AQ$57,0) + IF(AQ$4&gt;$E125,MIN(AQ125,$I125-SUM($J125:AQ125)))</f>
        <v>5.9105003082035665</v>
      </c>
      <c r="AS125" s="2">
        <f>IF(AR$4=$E125, $I125*AR$57,0) + IF(AR$4&gt;$E125,MIN(AR125,$I125-SUM($J125:AR125)))</f>
        <v>5.9105003082035665</v>
      </c>
      <c r="AT125" s="2">
        <f>IF(AS$4=$E125, $I125*AS$57,0) + IF(AS$4&gt;$E125,MIN(AS125,$I125-SUM($J125:AS125)))</f>
        <v>5.9105003082035665</v>
      </c>
      <c r="AU125" s="2">
        <f>IF(AT$4=$E125, $I125*AT$57,0) + IF(AT$4&gt;$E125,MIN(AT125,$I125-SUM($J125:AT125)))</f>
        <v>0</v>
      </c>
      <c r="AV125" s="2">
        <f>IF(AU$4=$E125, $I125*AU$57,0) + IF(AU$4&gt;$E125,MIN(AU125,$I125-SUM($J125:AU125)))</f>
        <v>0</v>
      </c>
      <c r="AW125" s="2"/>
    </row>
    <row r="126" spans="5:49" ht="16" outlineLevel="1">
      <c r="E126" s="44">
        <f>INDEX($K$4:$AV$4,,COUNT(E$109:E125)+1)</f>
        <v>39172</v>
      </c>
      <c r="G126" s="2" t="s">
        <v>101</v>
      </c>
      <c r="I126" s="2">
        <f t="shared" si="64"/>
        <v>133.78107433545651</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6.6890537167728255</v>
      </c>
      <c r="AC126" s="2">
        <f>IF(AB$4=$E126, $I126*AB$57,0) + IF(AB$4&gt;$E126,MIN(AB126,$I126-SUM($J126:AB126)))</f>
        <v>6.6890537167728255</v>
      </c>
      <c r="AD126" s="2">
        <f>IF(AC$4=$E126, $I126*AC$57,0) + IF(AC$4&gt;$E126,MIN(AC126,$I126-SUM($J126:AC126)))</f>
        <v>6.6890537167728255</v>
      </c>
      <c r="AE126" s="2">
        <f>IF(AD$4=$E126, $I126*AD$57,0) + IF(AD$4&gt;$E126,MIN(AD126,$I126-SUM($J126:AD126)))</f>
        <v>6.6890537167728255</v>
      </c>
      <c r="AF126" s="2">
        <f>IF(AE$4=$E126, $I126*AE$57,0) + IF(AE$4&gt;$E126,MIN(AE126,$I126-SUM($J126:AE126)))</f>
        <v>6.6890537167728255</v>
      </c>
      <c r="AG126" s="2">
        <f>IF(AF$4=$E126, $I126*AF$57,0) + IF(AF$4&gt;$E126,MIN(AF126,$I126-SUM($J126:AF126)))</f>
        <v>6.6890537167728255</v>
      </c>
      <c r="AH126" s="2">
        <f>IF(AG$4=$E126, $I126*AG$57,0) + IF(AG$4&gt;$E126,MIN(AG126,$I126-SUM($J126:AG126)))</f>
        <v>6.6890537167728255</v>
      </c>
      <c r="AI126" s="2">
        <f>IF(AH$4=$E126, $I126*AH$57,0) + IF(AH$4&gt;$E126,MIN(AH126,$I126-SUM($J126:AH126)))</f>
        <v>6.6890537167728255</v>
      </c>
      <c r="AJ126" s="2">
        <f>IF(AI$4=$E126, $I126*AI$57,0) + IF(AI$4&gt;$E126,MIN(AI126,$I126-SUM($J126:AI126)))</f>
        <v>6.6890537167728255</v>
      </c>
      <c r="AK126" s="2">
        <f>IF(AJ$4=$E126, $I126*AJ$57,0) + IF(AJ$4&gt;$E126,MIN(AJ126,$I126-SUM($J126:AJ126)))</f>
        <v>6.6890537167728255</v>
      </c>
      <c r="AL126" s="2">
        <f>IF(AK$4=$E126, $I126*AK$57,0) + IF(AK$4&gt;$E126,MIN(AK126,$I126-SUM($J126:AK126)))</f>
        <v>6.6890537167728255</v>
      </c>
      <c r="AM126" s="2">
        <f>IF(AL$4=$E126, $I126*AL$57,0) + IF(AL$4&gt;$E126,MIN(AL126,$I126-SUM($J126:AL126)))</f>
        <v>6.6890537167728255</v>
      </c>
      <c r="AN126" s="2">
        <f>IF(AM$4=$E126, $I126*AM$57,0) + IF(AM$4&gt;$E126,MIN(AM126,$I126-SUM($J126:AM126)))</f>
        <v>6.6890537167728255</v>
      </c>
      <c r="AO126" s="2">
        <f>IF(AN$4=$E126, $I126*AN$57,0) + IF(AN$4&gt;$E126,MIN(AN126,$I126-SUM($J126:AN126)))</f>
        <v>6.6890537167728255</v>
      </c>
      <c r="AP126" s="2">
        <f>IF(AO$4=$E126, $I126*AO$57,0) + IF(AO$4&gt;$E126,MIN(AO126,$I126-SUM($J126:AO126)))</f>
        <v>6.6890537167728255</v>
      </c>
      <c r="AQ126" s="57">
        <f>IF(AP$4=$E126, $I126*AP$57,0) + IF(AP$4&gt;$E126,MIN(AP126,$I126-SUM($J126:AP126)))</f>
        <v>6.6890537167728255</v>
      </c>
      <c r="AR126" s="2">
        <f>IF(AQ$4=$E126, $I126*AQ$57,0) + IF(AQ$4&gt;$E126,MIN(AQ126,$I126-SUM($J126:AQ126)))</f>
        <v>6.6890537167728255</v>
      </c>
      <c r="AS126" s="2">
        <f>IF(AR$4=$E126, $I126*AR$57,0) + IF(AR$4&gt;$E126,MIN(AR126,$I126-SUM($J126:AR126)))</f>
        <v>6.6890537167728255</v>
      </c>
      <c r="AT126" s="2">
        <f>IF(AS$4=$E126, $I126*AS$57,0) + IF(AS$4&gt;$E126,MIN(AS126,$I126-SUM($J126:AS126)))</f>
        <v>6.6890537167728255</v>
      </c>
      <c r="AU126" s="2">
        <f>IF(AT$4=$E126, $I126*AT$57,0) + IF(AT$4&gt;$E126,MIN(AT126,$I126-SUM($J126:AT126)))</f>
        <v>6.6890537167727757</v>
      </c>
      <c r="AV126" s="2">
        <f>IF(AU$4=$E126, $I126*AU$57,0) + IF(AU$4&gt;$E126,MIN(AU126,$I126-SUM($J126:AU126)))</f>
        <v>0</v>
      </c>
      <c r="AW126" s="2"/>
    </row>
    <row r="127" spans="5:49" ht="16" outlineLevel="1">
      <c r="E127" s="44">
        <f>INDEX($K$4:$AV$4,,COUNT(E$109:E126)+1)</f>
        <v>39538</v>
      </c>
      <c r="G127" s="2" t="s">
        <v>101</v>
      </c>
      <c r="I127" s="2">
        <f t="shared" si="64"/>
        <v>144.83278417437833</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7.241639208718917</v>
      </c>
      <c r="AD127" s="2">
        <f>IF(AC$4=$E127, $I127*AC$57,0) + IF(AC$4&gt;$E127,MIN(AC127,$I127-SUM($J127:AC127)))</f>
        <v>7.241639208718917</v>
      </c>
      <c r="AE127" s="2">
        <f>IF(AD$4=$E127, $I127*AD$57,0) + IF(AD$4&gt;$E127,MIN(AD127,$I127-SUM($J127:AD127)))</f>
        <v>7.241639208718917</v>
      </c>
      <c r="AF127" s="2">
        <f>IF(AE$4=$E127, $I127*AE$57,0) + IF(AE$4&gt;$E127,MIN(AE127,$I127-SUM($J127:AE127)))</f>
        <v>7.241639208718917</v>
      </c>
      <c r="AG127" s="2">
        <f>IF(AF$4=$E127, $I127*AF$57,0) + IF(AF$4&gt;$E127,MIN(AF127,$I127-SUM($J127:AF127)))</f>
        <v>7.241639208718917</v>
      </c>
      <c r="AH127" s="2">
        <f>IF(AG$4=$E127, $I127*AG$57,0) + IF(AG$4&gt;$E127,MIN(AG127,$I127-SUM($J127:AG127)))</f>
        <v>7.241639208718917</v>
      </c>
      <c r="AI127" s="2">
        <f>IF(AH$4=$E127, $I127*AH$57,0) + IF(AH$4&gt;$E127,MIN(AH127,$I127-SUM($J127:AH127)))</f>
        <v>7.241639208718917</v>
      </c>
      <c r="AJ127" s="2">
        <f>IF(AI$4=$E127, $I127*AI$57,0) + IF(AI$4&gt;$E127,MIN(AI127,$I127-SUM($J127:AI127)))</f>
        <v>7.241639208718917</v>
      </c>
      <c r="AK127" s="2">
        <f>IF(AJ$4=$E127, $I127*AJ$57,0) + IF(AJ$4&gt;$E127,MIN(AJ127,$I127-SUM($J127:AJ127)))</f>
        <v>7.241639208718917</v>
      </c>
      <c r="AL127" s="2">
        <f>IF(AK$4=$E127, $I127*AK$57,0) + IF(AK$4&gt;$E127,MIN(AK127,$I127-SUM($J127:AK127)))</f>
        <v>7.241639208718917</v>
      </c>
      <c r="AM127" s="2">
        <f>IF(AL$4=$E127, $I127*AL$57,0) + IF(AL$4&gt;$E127,MIN(AL127,$I127-SUM($J127:AL127)))</f>
        <v>7.241639208718917</v>
      </c>
      <c r="AN127" s="2">
        <f>IF(AM$4=$E127, $I127*AM$57,0) + IF(AM$4&gt;$E127,MIN(AM127,$I127-SUM($J127:AM127)))</f>
        <v>7.241639208718917</v>
      </c>
      <c r="AO127" s="2">
        <f>IF(AN$4=$E127, $I127*AN$57,0) + IF(AN$4&gt;$E127,MIN(AN127,$I127-SUM($J127:AN127)))</f>
        <v>7.241639208718917</v>
      </c>
      <c r="AP127" s="2">
        <f>IF(AO$4=$E127, $I127*AO$57,0) + IF(AO$4&gt;$E127,MIN(AO127,$I127-SUM($J127:AO127)))</f>
        <v>7.241639208718917</v>
      </c>
      <c r="AQ127" s="57">
        <f>IF(AP$4=$E127, $I127*AP$57,0) + IF(AP$4&gt;$E127,MIN(AP127,$I127-SUM($J127:AP127)))</f>
        <v>7.241639208718917</v>
      </c>
      <c r="AR127" s="2">
        <f>IF(AQ$4=$E127, $I127*AQ$57,0) + IF(AQ$4&gt;$E127,MIN(AQ127,$I127-SUM($J127:AQ127)))</f>
        <v>7.241639208718917</v>
      </c>
      <c r="AS127" s="2">
        <f>IF(AR$4=$E127, $I127*AR$57,0) + IF(AR$4&gt;$E127,MIN(AR127,$I127-SUM($J127:AR127)))</f>
        <v>7.241639208718917</v>
      </c>
      <c r="AT127" s="2">
        <f>IF(AS$4=$E127, $I127*AS$57,0) + IF(AS$4&gt;$E127,MIN(AS127,$I127-SUM($J127:AS127)))</f>
        <v>7.241639208718917</v>
      </c>
      <c r="AU127" s="2">
        <f>IF(AT$4=$E127, $I127*AT$57,0) + IF(AT$4&gt;$E127,MIN(AT127,$I127-SUM($J127:AT127)))</f>
        <v>7.241639208718917</v>
      </c>
      <c r="AV127" s="2">
        <f>IF(AU$4=$E127, $I127*AU$57,0) + IF(AU$4&gt;$E127,MIN(AU127,$I127-SUM($J127:AU127)))</f>
        <v>7.2416392087188797</v>
      </c>
      <c r="AW127" s="2"/>
    </row>
    <row r="128" spans="5:49" ht="16" outlineLevel="1">
      <c r="E128" s="44">
        <f>INDEX($K$4:$AV$4,,COUNT(E$109:E127)+1)</f>
        <v>39903</v>
      </c>
      <c r="G128" s="2" t="s">
        <v>101</v>
      </c>
      <c r="I128" s="2">
        <f t="shared" si="64"/>
        <v>142.02723675021343</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7.1013618375106722</v>
      </c>
      <c r="AE128" s="2">
        <f>IF(AD$4=$E128, $I128*AD$57,0) + IF(AD$4&gt;$E128,MIN(AD128,$I128-SUM($J128:AD128)))</f>
        <v>7.1013618375106722</v>
      </c>
      <c r="AF128" s="2">
        <f>IF(AE$4=$E128, $I128*AE$57,0) + IF(AE$4&gt;$E128,MIN(AE128,$I128-SUM($J128:AE128)))</f>
        <v>7.1013618375106722</v>
      </c>
      <c r="AG128" s="2">
        <f>IF(AF$4=$E128, $I128*AF$57,0) + IF(AF$4&gt;$E128,MIN(AF128,$I128-SUM($J128:AF128)))</f>
        <v>7.1013618375106722</v>
      </c>
      <c r="AH128" s="2">
        <f>IF(AG$4=$E128, $I128*AG$57,0) + IF(AG$4&gt;$E128,MIN(AG128,$I128-SUM($J128:AG128)))</f>
        <v>7.1013618375106722</v>
      </c>
      <c r="AI128" s="2">
        <f>IF(AH$4=$E128, $I128*AH$57,0) + IF(AH$4&gt;$E128,MIN(AH128,$I128-SUM($J128:AH128)))</f>
        <v>7.1013618375106722</v>
      </c>
      <c r="AJ128" s="2">
        <f>IF(AI$4=$E128, $I128*AI$57,0) + IF(AI$4&gt;$E128,MIN(AI128,$I128-SUM($J128:AI128)))</f>
        <v>7.1013618375106722</v>
      </c>
      <c r="AK128" s="2">
        <f>IF(AJ$4=$E128, $I128*AJ$57,0) + IF(AJ$4&gt;$E128,MIN(AJ128,$I128-SUM($J128:AJ128)))</f>
        <v>7.1013618375106722</v>
      </c>
      <c r="AL128" s="2">
        <f>IF(AK$4=$E128, $I128*AK$57,0) + IF(AK$4&gt;$E128,MIN(AK128,$I128-SUM($J128:AK128)))</f>
        <v>7.1013618375106722</v>
      </c>
      <c r="AM128" s="2">
        <f>IF(AL$4=$E128, $I128*AL$57,0) + IF(AL$4&gt;$E128,MIN(AL128,$I128-SUM($J128:AL128)))</f>
        <v>7.1013618375106722</v>
      </c>
      <c r="AN128" s="2">
        <f>IF(AM$4=$E128, $I128*AM$57,0) + IF(AM$4&gt;$E128,MIN(AM128,$I128-SUM($J128:AM128)))</f>
        <v>7.1013618375106722</v>
      </c>
      <c r="AO128" s="2">
        <f>IF(AN$4=$E128, $I128*AN$57,0) + IF(AN$4&gt;$E128,MIN(AN128,$I128-SUM($J128:AN128)))</f>
        <v>7.1013618375106722</v>
      </c>
      <c r="AP128" s="2">
        <f>IF(AO$4=$E128, $I128*AO$57,0) + IF(AO$4&gt;$E128,MIN(AO128,$I128-SUM($J128:AO128)))</f>
        <v>7.1013618375106722</v>
      </c>
      <c r="AQ128" s="57">
        <f>IF(AP$4=$E128, $I128*AP$57,0) + IF(AP$4&gt;$E128,MIN(AP128,$I128-SUM($J128:AP128)))</f>
        <v>7.1013618375106722</v>
      </c>
      <c r="AR128" s="2">
        <f>IF(AQ$4=$E128, $I128*AQ$57,0) + IF(AQ$4&gt;$E128,MIN(AQ128,$I128-SUM($J128:AQ128)))</f>
        <v>7.1013618375106722</v>
      </c>
      <c r="AS128" s="2">
        <f>IF(AR$4=$E128, $I128*AR$57,0) + IF(AR$4&gt;$E128,MIN(AR128,$I128-SUM($J128:AR128)))</f>
        <v>7.1013618375106722</v>
      </c>
      <c r="AT128" s="2">
        <f>IF(AS$4=$E128, $I128*AS$57,0) + IF(AS$4&gt;$E128,MIN(AS128,$I128-SUM($J128:AS128)))</f>
        <v>7.1013618375106722</v>
      </c>
      <c r="AU128" s="2">
        <f>IF(AT$4=$E128, $I128*AT$57,0) + IF(AT$4&gt;$E128,MIN(AT128,$I128-SUM($J128:AT128)))</f>
        <v>7.1013618375106722</v>
      </c>
      <c r="AV128" s="2">
        <f>IF(AU$4=$E128, $I128*AU$57,0) + IF(AU$4&gt;$E128,MIN(AU128,$I128-SUM($J128:AU128)))</f>
        <v>7.1013618375106722</v>
      </c>
      <c r="AW128" s="2"/>
    </row>
    <row r="129" spans="5:49" ht="16" outlineLevel="1">
      <c r="E129" s="44">
        <f>INDEX($K$4:$AV$4,,COUNT(E$109:E128)+1)</f>
        <v>40268</v>
      </c>
      <c r="G129" s="2" t="s">
        <v>101</v>
      </c>
      <c r="I129" s="2">
        <f t="shared" si="64"/>
        <v>117.78128364610983</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5.8890641823054919</v>
      </c>
      <c r="AF129" s="2">
        <f>IF(AE$4=$E129, $I129*AE$57,0) + IF(AE$4&gt;$E129,MIN(AE129,$I129-SUM($J129:AE129)))</f>
        <v>5.8890641823054919</v>
      </c>
      <c r="AG129" s="2">
        <f>IF(AF$4=$E129, $I129*AF$57,0) + IF(AF$4&gt;$E129,MIN(AF129,$I129-SUM($J129:AF129)))</f>
        <v>5.8890641823054919</v>
      </c>
      <c r="AH129" s="2">
        <f>IF(AG$4=$E129, $I129*AG$57,0) + IF(AG$4&gt;$E129,MIN(AG129,$I129-SUM($J129:AG129)))</f>
        <v>5.8890641823054919</v>
      </c>
      <c r="AI129" s="2">
        <f>IF(AH$4=$E129, $I129*AH$57,0) + IF(AH$4&gt;$E129,MIN(AH129,$I129-SUM($J129:AH129)))</f>
        <v>5.8890641823054919</v>
      </c>
      <c r="AJ129" s="2">
        <f>IF(AI$4=$E129, $I129*AI$57,0) + IF(AI$4&gt;$E129,MIN(AI129,$I129-SUM($J129:AI129)))</f>
        <v>5.8890641823054919</v>
      </c>
      <c r="AK129" s="2">
        <f>IF(AJ$4=$E129, $I129*AJ$57,0) + IF(AJ$4&gt;$E129,MIN(AJ129,$I129-SUM($J129:AJ129)))</f>
        <v>5.8890641823054919</v>
      </c>
      <c r="AL129" s="2">
        <f>IF(AK$4=$E129, $I129*AK$57,0) + IF(AK$4&gt;$E129,MIN(AK129,$I129-SUM($J129:AK129)))</f>
        <v>5.8890641823054919</v>
      </c>
      <c r="AM129" s="2">
        <f>IF(AL$4=$E129, $I129*AL$57,0) + IF(AL$4&gt;$E129,MIN(AL129,$I129-SUM($J129:AL129)))</f>
        <v>5.8890641823054919</v>
      </c>
      <c r="AN129" s="2">
        <f>IF(AM$4=$E129, $I129*AM$57,0) + IF(AM$4&gt;$E129,MIN(AM129,$I129-SUM($J129:AM129)))</f>
        <v>5.8890641823054919</v>
      </c>
      <c r="AO129" s="2">
        <f>IF(AN$4=$E129, $I129*AN$57,0) + IF(AN$4&gt;$E129,MIN(AN129,$I129-SUM($J129:AN129)))</f>
        <v>5.8890641823054919</v>
      </c>
      <c r="AP129" s="2">
        <f>IF(AO$4=$E129, $I129*AO$57,0) + IF(AO$4&gt;$E129,MIN(AO129,$I129-SUM($J129:AO129)))</f>
        <v>5.8890641823054919</v>
      </c>
      <c r="AQ129" s="57">
        <f>IF(AP$4=$E129, $I129*AP$57,0) + IF(AP$4&gt;$E129,MIN(AP129,$I129-SUM($J129:AP129)))</f>
        <v>5.8890641823054919</v>
      </c>
      <c r="AR129" s="2">
        <f>IF(AQ$4=$E129, $I129*AQ$57,0) + IF(AQ$4&gt;$E129,MIN(AQ129,$I129-SUM($J129:AQ129)))</f>
        <v>5.8890641823054919</v>
      </c>
      <c r="AS129" s="2">
        <f>IF(AR$4=$E129, $I129*AR$57,0) + IF(AR$4&gt;$E129,MIN(AR129,$I129-SUM($J129:AR129)))</f>
        <v>5.8890641823054919</v>
      </c>
      <c r="AT129" s="2">
        <f>IF(AS$4=$E129, $I129*AS$57,0) + IF(AS$4&gt;$E129,MIN(AS129,$I129-SUM($J129:AS129)))</f>
        <v>5.8890641823054919</v>
      </c>
      <c r="AU129" s="2">
        <f>IF(AT$4=$E129, $I129*AT$57,0) + IF(AT$4&gt;$E129,MIN(AT129,$I129-SUM($J129:AT129)))</f>
        <v>5.8890641823054919</v>
      </c>
      <c r="AV129" s="2">
        <f>IF(AU$4=$E129, $I129*AU$57,0) + IF(AU$4&gt;$E129,MIN(AU129,$I129-SUM($J129:AU129)))</f>
        <v>5.8890641823054919</v>
      </c>
      <c r="AW129" s="2"/>
    </row>
    <row r="130" spans="5:49" ht="16" outlineLevel="1">
      <c r="E130" s="44">
        <f>INDEX($K$4:$AV$4,,COUNT(E$109:E129)+1)</f>
        <v>40633</v>
      </c>
      <c r="G130" s="2" t="s">
        <v>101</v>
      </c>
      <c r="I130" s="2">
        <f t="shared" si="64"/>
        <v>146.45264432823487</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7.3226322164117441</v>
      </c>
      <c r="AG130" s="2">
        <f>IF(AF$4=$E130, $I130*AF$57,0) + IF(AF$4&gt;$E130,MIN(AF130,$I130-SUM($J130:AF130)))</f>
        <v>7.3226322164117441</v>
      </c>
      <c r="AH130" s="2">
        <f>IF(AG$4=$E130, $I130*AG$57,0) + IF(AG$4&gt;$E130,MIN(AG130,$I130-SUM($J130:AG130)))</f>
        <v>7.3226322164117441</v>
      </c>
      <c r="AI130" s="2">
        <f>IF(AH$4=$E130, $I130*AH$57,0) + IF(AH$4&gt;$E130,MIN(AH130,$I130-SUM($J130:AH130)))</f>
        <v>7.3226322164117441</v>
      </c>
      <c r="AJ130" s="2">
        <f>IF(AI$4=$E130, $I130*AI$57,0) + IF(AI$4&gt;$E130,MIN(AI130,$I130-SUM($J130:AI130)))</f>
        <v>7.3226322164117441</v>
      </c>
      <c r="AK130" s="2">
        <f>IF(AJ$4=$E130, $I130*AJ$57,0) + IF(AJ$4&gt;$E130,MIN(AJ130,$I130-SUM($J130:AJ130)))</f>
        <v>7.3226322164117441</v>
      </c>
      <c r="AL130" s="2">
        <f>IF(AK$4=$E130, $I130*AK$57,0) + IF(AK$4&gt;$E130,MIN(AK130,$I130-SUM($J130:AK130)))</f>
        <v>7.3226322164117441</v>
      </c>
      <c r="AM130" s="2">
        <f>IF(AL$4=$E130, $I130*AL$57,0) + IF(AL$4&gt;$E130,MIN(AL130,$I130-SUM($J130:AL130)))</f>
        <v>7.3226322164117441</v>
      </c>
      <c r="AN130" s="2">
        <f>IF(AM$4=$E130, $I130*AM$57,0) + IF(AM$4&gt;$E130,MIN(AM130,$I130-SUM($J130:AM130)))</f>
        <v>7.3226322164117441</v>
      </c>
      <c r="AO130" s="2">
        <f>IF(AN$4=$E130, $I130*AN$57,0) + IF(AN$4&gt;$E130,MIN(AN130,$I130-SUM($J130:AN130)))</f>
        <v>7.3226322164117441</v>
      </c>
      <c r="AP130" s="2">
        <f>IF(AO$4=$E130, $I130*AO$57,0) + IF(AO$4&gt;$E130,MIN(AO130,$I130-SUM($J130:AO130)))</f>
        <v>7.3226322164117441</v>
      </c>
      <c r="AQ130" s="57">
        <f>IF(AP$4=$E130, $I130*AP$57,0) + IF(AP$4&gt;$E130,MIN(AP130,$I130-SUM($J130:AP130)))</f>
        <v>7.3226322164117441</v>
      </c>
      <c r="AR130" s="2">
        <f>IF(AQ$4=$E130, $I130*AQ$57,0) + IF(AQ$4&gt;$E130,MIN(AQ130,$I130-SUM($J130:AQ130)))</f>
        <v>7.3226322164117441</v>
      </c>
      <c r="AS130" s="2">
        <f>IF(AR$4=$E130, $I130*AR$57,0) + IF(AR$4&gt;$E130,MIN(AR130,$I130-SUM($J130:AR130)))</f>
        <v>7.3226322164117441</v>
      </c>
      <c r="AT130" s="2">
        <f>IF(AS$4=$E130, $I130*AS$57,0) + IF(AS$4&gt;$E130,MIN(AS130,$I130-SUM($J130:AS130)))</f>
        <v>7.3226322164117441</v>
      </c>
      <c r="AU130" s="2">
        <f>IF(AT$4=$E130, $I130*AT$57,0) + IF(AT$4&gt;$E130,MIN(AT130,$I130-SUM($J130:AT130)))</f>
        <v>7.3226322164117441</v>
      </c>
      <c r="AV130" s="2">
        <f>IF(AU$4=$E130, $I130*AU$57,0) + IF(AU$4&gt;$E130,MIN(AU130,$I130-SUM($J130:AU130)))</f>
        <v>7.3226322164117441</v>
      </c>
      <c r="AW130" s="2"/>
    </row>
    <row r="131" spans="5:49" ht="16" outlineLevel="1">
      <c r="E131" s="44">
        <f>INDEX($K$4:$AV$4,,COUNT(E$109:E130)+1)</f>
        <v>40999</v>
      </c>
      <c r="G131" s="2" t="s">
        <v>101</v>
      </c>
      <c r="I131" s="2">
        <f t="shared" si="64"/>
        <v>160.98914503286744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8.0494572516433731</v>
      </c>
      <c r="AH131" s="2">
        <f>IF(AG$4=$E131, $I131*AG$57,0) + IF(AG$4&gt;$E131,MIN(AG131,$I131-SUM($J131:AG131)))</f>
        <v>8.0494572516433731</v>
      </c>
      <c r="AI131" s="2">
        <f>IF(AH$4=$E131, $I131*AH$57,0) + IF(AH$4&gt;$E131,MIN(AH131,$I131-SUM($J131:AH131)))</f>
        <v>8.0494572516433731</v>
      </c>
      <c r="AJ131" s="2">
        <f>IF(AI$4=$E131, $I131*AI$57,0) + IF(AI$4&gt;$E131,MIN(AI131,$I131-SUM($J131:AI131)))</f>
        <v>8.0494572516433731</v>
      </c>
      <c r="AK131" s="2">
        <f>IF(AJ$4=$E131, $I131*AJ$57,0) + IF(AJ$4&gt;$E131,MIN(AJ131,$I131-SUM($J131:AJ131)))</f>
        <v>8.0494572516433731</v>
      </c>
      <c r="AL131" s="2">
        <f>IF(AK$4=$E131, $I131*AK$57,0) + IF(AK$4&gt;$E131,MIN(AK131,$I131-SUM($J131:AK131)))</f>
        <v>8.0494572516433731</v>
      </c>
      <c r="AM131" s="2">
        <f>IF(AL$4=$E131, $I131*AL$57,0) + IF(AL$4&gt;$E131,MIN(AL131,$I131-SUM($J131:AL131)))</f>
        <v>8.0494572516433731</v>
      </c>
      <c r="AN131" s="2">
        <f>IF(AM$4=$E131, $I131*AM$57,0) + IF(AM$4&gt;$E131,MIN(AM131,$I131-SUM($J131:AM131)))</f>
        <v>8.0494572516433731</v>
      </c>
      <c r="AO131" s="2">
        <f>IF(AN$4=$E131, $I131*AN$57,0) + IF(AN$4&gt;$E131,MIN(AN131,$I131-SUM($J131:AN131)))</f>
        <v>8.0494572516433731</v>
      </c>
      <c r="AP131" s="2">
        <f>IF(AO$4=$E131, $I131*AO$57,0) + IF(AO$4&gt;$E131,MIN(AO131,$I131-SUM($J131:AO131)))</f>
        <v>8.0494572516433731</v>
      </c>
      <c r="AQ131" s="57">
        <f>IF(AP$4=$E131, $I131*AP$57,0) + IF(AP$4&gt;$E131,MIN(AP131,$I131-SUM($J131:AP131)))</f>
        <v>8.0494572516433731</v>
      </c>
      <c r="AR131" s="2">
        <f>IF(AQ$4=$E131, $I131*AQ$57,0) + IF(AQ$4&gt;$E131,MIN(AQ131,$I131-SUM($J131:AQ131)))</f>
        <v>8.0494572516433731</v>
      </c>
      <c r="AS131" s="2">
        <f>IF(AR$4=$E131, $I131*AR$57,0) + IF(AR$4&gt;$E131,MIN(AR131,$I131-SUM($J131:AR131)))</f>
        <v>8.0494572516433731</v>
      </c>
      <c r="AT131" s="2">
        <f>IF(AS$4=$E131, $I131*AS$57,0) + IF(AS$4&gt;$E131,MIN(AS131,$I131-SUM($J131:AS131)))</f>
        <v>8.0494572516433731</v>
      </c>
      <c r="AU131" s="2">
        <f>IF(AT$4=$E131, $I131*AT$57,0) + IF(AT$4&gt;$E131,MIN(AT131,$I131-SUM($J131:AT131)))</f>
        <v>8.0494572516433731</v>
      </c>
      <c r="AV131" s="2">
        <f>IF(AU$4=$E131, $I131*AU$57,0) + IF(AU$4&gt;$E131,MIN(AU131,$I131-SUM($J131:AU131)))</f>
        <v>8.0494572516433731</v>
      </c>
      <c r="AW131" s="2"/>
    </row>
    <row r="132" spans="5:49" ht="16" outlineLevel="1">
      <c r="E132" s="44">
        <f>INDEX($K$4:$AV$4,,COUNT(E$109:E131)+1)</f>
        <v>41364</v>
      </c>
      <c r="G132" s="2" t="s">
        <v>101</v>
      </c>
      <c r="I132" s="2">
        <f t="shared" si="64"/>
        <v>155.78448247749279</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7.7892241238746394</v>
      </c>
      <c r="AI132" s="2">
        <f>IF(AH$4=$E132, $I132*AH$57,0) + IF(AH$4&gt;$E132,MIN(AH132,$I132-SUM($J132:AH132)))</f>
        <v>7.7892241238746394</v>
      </c>
      <c r="AJ132" s="2">
        <f>IF(AI$4=$E132, $I132*AI$57,0) + IF(AI$4&gt;$E132,MIN(AI132,$I132-SUM($J132:AI132)))</f>
        <v>7.7892241238746394</v>
      </c>
      <c r="AK132" s="2">
        <f>IF(AJ$4=$E132, $I132*AJ$57,0) + IF(AJ$4&gt;$E132,MIN(AJ132,$I132-SUM($J132:AJ132)))</f>
        <v>7.7892241238746394</v>
      </c>
      <c r="AL132" s="2">
        <f>IF(AK$4=$E132, $I132*AK$57,0) + IF(AK$4&gt;$E132,MIN(AK132,$I132-SUM($J132:AK132)))</f>
        <v>7.7892241238746394</v>
      </c>
      <c r="AM132" s="2">
        <f>IF(AL$4=$E132, $I132*AL$57,0) + IF(AL$4&gt;$E132,MIN(AL132,$I132-SUM($J132:AL132)))</f>
        <v>7.7892241238746394</v>
      </c>
      <c r="AN132" s="2">
        <f>IF(AM$4=$E132, $I132*AM$57,0) + IF(AM$4&gt;$E132,MIN(AM132,$I132-SUM($J132:AM132)))</f>
        <v>7.7892241238746394</v>
      </c>
      <c r="AO132" s="2">
        <f>IF(AN$4=$E132, $I132*AN$57,0) + IF(AN$4&gt;$E132,MIN(AN132,$I132-SUM($J132:AN132)))</f>
        <v>7.7892241238746394</v>
      </c>
      <c r="AP132" s="2">
        <f>IF(AO$4=$E132, $I132*AO$57,0) + IF(AO$4&gt;$E132,MIN(AO132,$I132-SUM($J132:AO132)))</f>
        <v>7.7892241238746394</v>
      </c>
      <c r="AQ132" s="57">
        <f>IF(AP$4=$E132, $I132*AP$57,0) + IF(AP$4&gt;$E132,MIN(AP132,$I132-SUM($J132:AP132)))</f>
        <v>7.7892241238746394</v>
      </c>
      <c r="AR132" s="2">
        <f>IF(AQ$4=$E132, $I132*AQ$57,0) + IF(AQ$4&gt;$E132,MIN(AQ132,$I132-SUM($J132:AQ132)))</f>
        <v>7.7892241238746394</v>
      </c>
      <c r="AS132" s="2">
        <f>IF(AR$4=$E132, $I132*AR$57,0) + IF(AR$4&gt;$E132,MIN(AR132,$I132-SUM($J132:AR132)))</f>
        <v>7.7892241238746394</v>
      </c>
      <c r="AT132" s="2">
        <f>IF(AS$4=$E132, $I132*AS$57,0) + IF(AS$4&gt;$E132,MIN(AS132,$I132-SUM($J132:AS132)))</f>
        <v>7.7892241238746394</v>
      </c>
      <c r="AU132" s="2">
        <f>IF(AT$4=$E132, $I132*AT$57,0) + IF(AT$4&gt;$E132,MIN(AT132,$I132-SUM($J132:AT132)))</f>
        <v>7.7892241238746394</v>
      </c>
      <c r="AV132" s="2">
        <f>IF(AU$4=$E132, $I132*AU$57,0) + IF(AU$4&gt;$E132,MIN(AU132,$I132-SUM($J132:AU132)))</f>
        <v>7.7892241238746394</v>
      </c>
      <c r="AW132" s="2"/>
    </row>
    <row r="133" spans="5:49" ht="16" outlineLevel="1">
      <c r="E133" s="44">
        <f>INDEX($K$4:$AV$4,,COUNT(E$109:E132)+1)</f>
        <v>41729</v>
      </c>
      <c r="G133" s="2" t="s">
        <v>101</v>
      </c>
      <c r="I133" s="2">
        <f t="shared" si="64"/>
        <v>181.16126867767576</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9.0580634338837882</v>
      </c>
      <c r="AJ133" s="2">
        <f>IF(AI$4=$E133, $I133*AI$57,0) + IF(AI$4&gt;$E133,MIN(AI133,$I133-SUM($J133:AI133)))</f>
        <v>9.0580634338837882</v>
      </c>
      <c r="AK133" s="2">
        <f>IF(AJ$4=$E133, $I133*AJ$57,0) + IF(AJ$4&gt;$E133,MIN(AJ133,$I133-SUM($J133:AJ133)))</f>
        <v>9.0580634338837882</v>
      </c>
      <c r="AL133" s="2">
        <f>IF(AK$4=$E133, $I133*AK$57,0) + IF(AK$4&gt;$E133,MIN(AK133,$I133-SUM($J133:AK133)))</f>
        <v>9.0580634338837882</v>
      </c>
      <c r="AM133" s="2">
        <f>IF(AL$4=$E133, $I133*AL$57,0) + IF(AL$4&gt;$E133,MIN(AL133,$I133-SUM($J133:AL133)))</f>
        <v>9.0580634338837882</v>
      </c>
      <c r="AN133" s="2">
        <f>IF(AM$4=$E133, $I133*AM$57,0) + IF(AM$4&gt;$E133,MIN(AM133,$I133-SUM($J133:AM133)))</f>
        <v>9.0580634338837882</v>
      </c>
      <c r="AO133" s="2">
        <f>IF(AN$4=$E133, $I133*AN$57,0) + IF(AN$4&gt;$E133,MIN(AN133,$I133-SUM($J133:AN133)))</f>
        <v>9.0580634338837882</v>
      </c>
      <c r="AP133" s="2">
        <f>IF(AO$4=$E133, $I133*AO$57,0) + IF(AO$4&gt;$E133,MIN(AO133,$I133-SUM($J133:AO133)))</f>
        <v>9.0580634338837882</v>
      </c>
      <c r="AQ133" s="57">
        <f>IF(AP$4=$E133, $I133*AP$57,0) + IF(AP$4&gt;$E133,MIN(AP133,$I133-SUM($J133:AP133)))</f>
        <v>9.0580634338837882</v>
      </c>
      <c r="AR133" s="2">
        <f>IF(AQ$4=$E133, $I133*AQ$57,0) + IF(AQ$4&gt;$E133,MIN(AQ133,$I133-SUM($J133:AQ133)))</f>
        <v>9.0580634338837882</v>
      </c>
      <c r="AS133" s="2">
        <f>IF(AR$4=$E133, $I133*AR$57,0) + IF(AR$4&gt;$E133,MIN(AR133,$I133-SUM($J133:AR133)))</f>
        <v>9.0580634338837882</v>
      </c>
      <c r="AT133" s="2">
        <f>IF(AS$4=$E133, $I133*AS$57,0) + IF(AS$4&gt;$E133,MIN(AS133,$I133-SUM($J133:AS133)))</f>
        <v>9.0580634338837882</v>
      </c>
      <c r="AU133" s="2">
        <f>IF(AT$4=$E133, $I133*AT$57,0) + IF(AT$4&gt;$E133,MIN(AT133,$I133-SUM($J133:AT133)))</f>
        <v>9.0580634338837882</v>
      </c>
      <c r="AV133" s="2">
        <f>IF(AU$4=$E133, $I133*AU$57,0) + IF(AU$4&gt;$E133,MIN(AU133,$I133-SUM($J133:AU133)))</f>
        <v>9.0580634338837882</v>
      </c>
      <c r="AW133" s="2"/>
    </row>
    <row r="134" spans="5:49" ht="16" outlineLevel="1">
      <c r="E134" s="44">
        <f>INDEX($K$4:$AV$4,,COUNT(E$109:E133)+1)</f>
        <v>42094</v>
      </c>
      <c r="G134" s="2" t="s">
        <v>101</v>
      </c>
      <c r="I134" s="2">
        <f t="shared" si="64"/>
        <v>189.34499297544724</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9.4672496487723627</v>
      </c>
      <c r="AK134" s="2">
        <f>IF(AJ$4=$E134, $I134*AJ$57,0) + IF(AJ$4&gt;$E134,MIN(AJ134,$I134-SUM($J134:AJ134)))</f>
        <v>9.4672496487723627</v>
      </c>
      <c r="AL134" s="2">
        <f>IF(AK$4=$E134, $I134*AK$57,0) + IF(AK$4&gt;$E134,MIN(AK134,$I134-SUM($J134:AK134)))</f>
        <v>9.4672496487723627</v>
      </c>
      <c r="AM134" s="2">
        <f>IF(AL$4=$E134, $I134*AL$57,0) + IF(AL$4&gt;$E134,MIN(AL134,$I134-SUM($J134:AL134)))</f>
        <v>9.4672496487723627</v>
      </c>
      <c r="AN134" s="2">
        <f>IF(AM$4=$E134, $I134*AM$57,0) + IF(AM$4&gt;$E134,MIN(AM134,$I134-SUM($J134:AM134)))</f>
        <v>9.4672496487723627</v>
      </c>
      <c r="AO134" s="2">
        <f>IF(AN$4=$E134, $I134*AN$57,0) + IF(AN$4&gt;$E134,MIN(AN134,$I134-SUM($J134:AN134)))</f>
        <v>9.4672496487723627</v>
      </c>
      <c r="AP134" s="2">
        <f>IF(AO$4=$E134, $I134*AO$57,0) + IF(AO$4&gt;$E134,MIN(AO134,$I134-SUM($J134:AO134)))</f>
        <v>9.4672496487723627</v>
      </c>
      <c r="AQ134" s="57">
        <f>IF(AP$4=$E134, $I134*AP$57,0) + IF(AP$4&gt;$E134,MIN(AP134,$I134-SUM($J134:AP134)))</f>
        <v>9.4672496487723627</v>
      </c>
      <c r="AR134" s="2">
        <f>IF(AQ$4=$E134, $I134*AQ$57,0) + IF(AQ$4&gt;$E134,MIN(AQ134,$I134-SUM($J134:AQ134)))</f>
        <v>9.4672496487723627</v>
      </c>
      <c r="AS134" s="2">
        <f>IF(AR$4=$E134, $I134*AR$57,0) + IF(AR$4&gt;$E134,MIN(AR134,$I134-SUM($J134:AR134)))</f>
        <v>9.4672496487723627</v>
      </c>
      <c r="AT134" s="2">
        <f>IF(AS$4=$E134, $I134*AS$57,0) + IF(AS$4&gt;$E134,MIN(AS134,$I134-SUM($J134:AS134)))</f>
        <v>9.4672496487723627</v>
      </c>
      <c r="AU134" s="2">
        <f>IF(AT$4=$E134, $I134*AT$57,0) + IF(AT$4&gt;$E134,MIN(AT134,$I134-SUM($J134:AT134)))</f>
        <v>9.4672496487723627</v>
      </c>
      <c r="AV134" s="2">
        <f>IF(AU$4=$E134, $I134*AU$57,0) + IF(AU$4&gt;$E134,MIN(AU134,$I134-SUM($J134:AU134)))</f>
        <v>9.4672496487723627</v>
      </c>
      <c r="AW134" s="2"/>
    </row>
    <row r="135" spans="5:49" ht="16"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1</v>
      </c>
      <c r="AB152" s="2">
        <f t="shared" si="65"/>
        <v>1</v>
      </c>
      <c r="AC152" s="2">
        <f t="shared" si="65"/>
        <v>1</v>
      </c>
      <c r="AD152" s="2">
        <f t="shared" si="65"/>
        <v>1</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0</v>
      </c>
      <c r="AB154" s="201">
        <f>(1-AB152) * IF(COUNTIF($J154:AA154,"&gt;"&amp;0)&lt;=$I153-1,1,0) * (1/$I153)</f>
        <v>0</v>
      </c>
      <c r="AC154" s="201">
        <f>(1-AC152) * IF(COUNTIF($J154:AB154,"&gt;"&amp;0)&lt;=$I153-1,1,0) * (1/$I153)</f>
        <v>0</v>
      </c>
      <c r="AD154" s="201">
        <f>(1-AD152) * IF(COUNTIF($J154:AC154,"&gt;"&amp;0)&lt;=$I153-1,1,0) * (1/$I153)</f>
        <v>0</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6.6666666666666666E-2</v>
      </c>
      <c r="AQ154" s="295">
        <f>(1-AQ152) * IF(COUNTIF($J154:AP154,"&gt;"&amp;0)&lt;=$I153-1,1,0) * (1/$I153)</f>
        <v>6.6666666666666666E-2</v>
      </c>
      <c r="AR154" s="294">
        <f>(1-AR152) * IF(COUNTIF($J154:AQ154,"&gt;"&amp;0)&lt;=$I153-1,1,0) * (1/$I153)</f>
        <v>6.6666666666666666E-2</v>
      </c>
      <c r="AS154" s="294">
        <f>(1-AS152) * IF(COUNTIF($J154:AR154,"&gt;"&amp;0)&lt;=$I153-1,1,0) * (1/$I153)</f>
        <v>6.6666666666666666E-2</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 outlineLevel="1">
      <c r="E156" s="44">
        <f t="shared" ref="E156:E191" si="66">E66</f>
        <v>33328</v>
      </c>
      <c r="G156" s="2" t="s">
        <v>101</v>
      </c>
      <c r="I156" s="2">
        <f>SUMPRODUCT(K110:AV110,$K$152:$AV$152) - SUMPRODUCT(K66:AV66,$K$152:$AV$152)</f>
        <v>63.766726137377333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v>
      </c>
      <c r="AB156" s="2">
        <f t="shared" si="68"/>
        <v>0</v>
      </c>
      <c r="AC156" s="2">
        <f t="shared" si="68"/>
        <v>0</v>
      </c>
      <c r="AD156" s="2">
        <f t="shared" si="68"/>
        <v>0</v>
      </c>
      <c r="AE156" s="2">
        <f t="shared" si="68"/>
        <v>4.2511150758251555</v>
      </c>
      <c r="AF156" s="2">
        <f t="shared" si="68"/>
        <v>4.2511150758251555</v>
      </c>
      <c r="AG156" s="2">
        <f t="shared" si="68"/>
        <v>4.2511150758251555</v>
      </c>
      <c r="AH156" s="2">
        <f t="shared" si="68"/>
        <v>4.2511150758251555</v>
      </c>
      <c r="AI156" s="2">
        <f t="shared" si="68"/>
        <v>4.2511150758251555</v>
      </c>
      <c r="AJ156" s="2">
        <f t="shared" si="68"/>
        <v>4.2511150758251555</v>
      </c>
      <c r="AK156" s="2">
        <f t="shared" si="68"/>
        <v>4.2511150758251555</v>
      </c>
      <c r="AL156" s="2">
        <f t="shared" si="68"/>
        <v>4.2511150758251555</v>
      </c>
      <c r="AM156" s="2">
        <f t="shared" si="68"/>
        <v>4.2511150758251555</v>
      </c>
      <c r="AN156" s="2">
        <f t="shared" si="68"/>
        <v>4.2511150758251555</v>
      </c>
      <c r="AO156" s="2">
        <f t="shared" si="68"/>
        <v>4.2511150758251555</v>
      </c>
      <c r="AP156" s="2">
        <f t="shared" si="68"/>
        <v>4.2511150758251555</v>
      </c>
      <c r="AQ156" s="57">
        <f t="shared" si="68"/>
        <v>4.2511150758251555</v>
      </c>
      <c r="AR156" s="2">
        <f t="shared" si="68"/>
        <v>4.2511150758251555</v>
      </c>
      <c r="AS156" s="2">
        <f t="shared" si="68"/>
        <v>4.2511150758251555</v>
      </c>
      <c r="AT156" s="2">
        <f t="shared" si="68"/>
        <v>0</v>
      </c>
      <c r="AU156" s="2">
        <f t="shared" si="68"/>
        <v>0</v>
      </c>
      <c r="AV156" s="2">
        <f t="shared" si="68"/>
        <v>0</v>
      </c>
      <c r="AW156" s="2"/>
    </row>
    <row r="157" spans="1:49" ht="16" outlineLevel="1">
      <c r="E157" s="44">
        <f t="shared" si="66"/>
        <v>33694</v>
      </c>
      <c r="G157" s="2" t="s">
        <v>101</v>
      </c>
      <c r="I157" s="2">
        <f>SUMPRODUCT(K111:AV111,$K$152:$AV$152) - SUMPRODUCT(K67:AV67,$K$152:$AV$152)</f>
        <v>50.776476664190298</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0</v>
      </c>
      <c r="AB157" s="2">
        <f t="shared" si="68"/>
        <v>0</v>
      </c>
      <c r="AC157" s="2">
        <f t="shared" si="68"/>
        <v>0</v>
      </c>
      <c r="AD157" s="2">
        <f t="shared" si="68"/>
        <v>0</v>
      </c>
      <c r="AE157" s="2">
        <f t="shared" si="68"/>
        <v>3.385098444279353</v>
      </c>
      <c r="AF157" s="2">
        <f t="shared" si="68"/>
        <v>3.385098444279353</v>
      </c>
      <c r="AG157" s="2">
        <f t="shared" si="68"/>
        <v>3.385098444279353</v>
      </c>
      <c r="AH157" s="2">
        <f t="shared" si="68"/>
        <v>3.385098444279353</v>
      </c>
      <c r="AI157" s="2">
        <f t="shared" si="68"/>
        <v>3.385098444279353</v>
      </c>
      <c r="AJ157" s="2">
        <f t="shared" si="68"/>
        <v>3.385098444279353</v>
      </c>
      <c r="AK157" s="2">
        <f t="shared" si="68"/>
        <v>3.385098444279353</v>
      </c>
      <c r="AL157" s="2">
        <f t="shared" si="68"/>
        <v>3.385098444279353</v>
      </c>
      <c r="AM157" s="2">
        <f t="shared" si="68"/>
        <v>3.385098444279353</v>
      </c>
      <c r="AN157" s="2">
        <f t="shared" si="68"/>
        <v>3.385098444279353</v>
      </c>
      <c r="AO157" s="2">
        <f t="shared" si="68"/>
        <v>3.385098444279353</v>
      </c>
      <c r="AP157" s="2">
        <f t="shared" si="68"/>
        <v>3.385098444279353</v>
      </c>
      <c r="AQ157" s="57">
        <f t="shared" si="68"/>
        <v>3.385098444279353</v>
      </c>
      <c r="AR157" s="2">
        <f t="shared" si="68"/>
        <v>3.385098444279353</v>
      </c>
      <c r="AS157" s="2">
        <f t="shared" si="68"/>
        <v>3.385098444279353</v>
      </c>
      <c r="AT157" s="2">
        <f t="shared" si="68"/>
        <v>0</v>
      </c>
      <c r="AU157" s="2">
        <f t="shared" si="68"/>
        <v>0</v>
      </c>
      <c r="AV157" s="2">
        <f t="shared" si="68"/>
        <v>0</v>
      </c>
      <c r="AW157" s="2"/>
    </row>
    <row r="158" spans="1:49" ht="16" outlineLevel="1">
      <c r="E158" s="44">
        <f t="shared" si="66"/>
        <v>34059</v>
      </c>
      <c r="G158" s="2" t="s">
        <v>101</v>
      </c>
      <c r="I158" s="2">
        <f t="shared" ref="I158:I193" si="70">SUMPRODUCT(K112:AV112,$K$152:$AV$152) - SUMPRODUCT(K68:AV68,$K$152:$AV$152)</f>
        <v>46.240199070378893</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0</v>
      </c>
      <c r="AB158" s="2">
        <f t="shared" si="68"/>
        <v>0</v>
      </c>
      <c r="AC158" s="2">
        <f t="shared" si="68"/>
        <v>0</v>
      </c>
      <c r="AD158" s="2">
        <f t="shared" si="68"/>
        <v>0</v>
      </c>
      <c r="AE158" s="2">
        <f t="shared" si="68"/>
        <v>3.0826799380252594</v>
      </c>
      <c r="AF158" s="2">
        <f t="shared" si="68"/>
        <v>3.0826799380252594</v>
      </c>
      <c r="AG158" s="2">
        <f t="shared" si="68"/>
        <v>3.0826799380252594</v>
      </c>
      <c r="AH158" s="2">
        <f t="shared" si="68"/>
        <v>3.0826799380252594</v>
      </c>
      <c r="AI158" s="2">
        <f t="shared" si="68"/>
        <v>3.0826799380252594</v>
      </c>
      <c r="AJ158" s="2">
        <f t="shared" si="68"/>
        <v>3.0826799380252594</v>
      </c>
      <c r="AK158" s="2">
        <f t="shared" si="68"/>
        <v>3.0826799380252594</v>
      </c>
      <c r="AL158" s="2">
        <f t="shared" si="68"/>
        <v>3.0826799380252594</v>
      </c>
      <c r="AM158" s="2">
        <f t="shared" si="68"/>
        <v>3.0826799380252594</v>
      </c>
      <c r="AN158" s="2">
        <f t="shared" si="68"/>
        <v>3.0826799380252594</v>
      </c>
      <c r="AO158" s="2">
        <f t="shared" si="68"/>
        <v>3.0826799380252594</v>
      </c>
      <c r="AP158" s="2">
        <f t="shared" si="68"/>
        <v>3.0826799380252594</v>
      </c>
      <c r="AQ158" s="57">
        <f t="shared" si="68"/>
        <v>3.0826799380252594</v>
      </c>
      <c r="AR158" s="2">
        <f t="shared" si="68"/>
        <v>3.0826799380252594</v>
      </c>
      <c r="AS158" s="2">
        <f t="shared" si="68"/>
        <v>3.0826799380252594</v>
      </c>
      <c r="AT158" s="2">
        <f t="shared" si="68"/>
        <v>0</v>
      </c>
      <c r="AU158" s="2">
        <f t="shared" si="68"/>
        <v>0</v>
      </c>
      <c r="AV158" s="2">
        <f t="shared" si="68"/>
        <v>0</v>
      </c>
      <c r="AW158" s="2"/>
    </row>
    <row r="159" spans="1:49" ht="16" outlineLevel="1">
      <c r="E159" s="44">
        <f t="shared" si="66"/>
        <v>34424</v>
      </c>
      <c r="G159" s="2" t="s">
        <v>101</v>
      </c>
      <c r="I159" s="2">
        <f t="shared" si="70"/>
        <v>46.187553682442946</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0</v>
      </c>
      <c r="AB159" s="2">
        <f t="shared" si="68"/>
        <v>0</v>
      </c>
      <c r="AC159" s="2">
        <f t="shared" si="68"/>
        <v>0</v>
      </c>
      <c r="AD159" s="2">
        <f t="shared" si="68"/>
        <v>0</v>
      </c>
      <c r="AE159" s="2">
        <f t="shared" si="68"/>
        <v>3.0791702454961962</v>
      </c>
      <c r="AF159" s="2">
        <f t="shared" si="68"/>
        <v>3.0791702454961962</v>
      </c>
      <c r="AG159" s="2">
        <f t="shared" si="68"/>
        <v>3.0791702454961962</v>
      </c>
      <c r="AH159" s="2">
        <f t="shared" si="68"/>
        <v>3.0791702454961962</v>
      </c>
      <c r="AI159" s="2">
        <f t="shared" si="68"/>
        <v>3.0791702454961962</v>
      </c>
      <c r="AJ159" s="2">
        <f t="shared" si="68"/>
        <v>3.0791702454961962</v>
      </c>
      <c r="AK159" s="2">
        <f t="shared" si="68"/>
        <v>3.0791702454961962</v>
      </c>
      <c r="AL159" s="2">
        <f t="shared" si="68"/>
        <v>3.0791702454961962</v>
      </c>
      <c r="AM159" s="2">
        <f t="shared" si="68"/>
        <v>3.0791702454961962</v>
      </c>
      <c r="AN159" s="2">
        <f t="shared" si="68"/>
        <v>3.0791702454961962</v>
      </c>
      <c r="AO159" s="2">
        <f t="shared" si="68"/>
        <v>3.0791702454961962</v>
      </c>
      <c r="AP159" s="2">
        <f t="shared" si="68"/>
        <v>3.0791702454961962</v>
      </c>
      <c r="AQ159" s="57">
        <f t="shared" si="68"/>
        <v>3.0791702454961962</v>
      </c>
      <c r="AR159" s="2">
        <f t="shared" si="68"/>
        <v>3.0791702454961962</v>
      </c>
      <c r="AS159" s="2">
        <f t="shared" si="68"/>
        <v>3.0791702454961962</v>
      </c>
      <c r="AT159" s="2">
        <f t="shared" si="68"/>
        <v>0</v>
      </c>
      <c r="AU159" s="2">
        <f t="shared" si="68"/>
        <v>0</v>
      </c>
      <c r="AV159" s="2">
        <f t="shared" si="68"/>
        <v>0</v>
      </c>
      <c r="AW159" s="2"/>
    </row>
    <row r="160" spans="1:49" ht="16" outlineLevel="1">
      <c r="E160" s="44">
        <f t="shared" si="66"/>
        <v>34789</v>
      </c>
      <c r="G160" s="2" t="s">
        <v>101</v>
      </c>
      <c r="I160" s="2">
        <f t="shared" si="70"/>
        <v>39.089200542417046</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0</v>
      </c>
      <c r="AB160" s="2">
        <f t="shared" si="71"/>
        <v>0</v>
      </c>
      <c r="AC160" s="2">
        <f t="shared" si="71"/>
        <v>0</v>
      </c>
      <c r="AD160" s="2">
        <f t="shared" si="71"/>
        <v>0</v>
      </c>
      <c r="AE160" s="2">
        <f t="shared" si="71"/>
        <v>2.6059467028278029</v>
      </c>
      <c r="AF160" s="2">
        <f t="shared" si="71"/>
        <v>2.6059467028278029</v>
      </c>
      <c r="AG160" s="2">
        <f t="shared" si="71"/>
        <v>2.6059467028278029</v>
      </c>
      <c r="AH160" s="2">
        <f t="shared" si="71"/>
        <v>2.6059467028278029</v>
      </c>
      <c r="AI160" s="2">
        <f t="shared" si="71"/>
        <v>2.6059467028278029</v>
      </c>
      <c r="AJ160" s="2">
        <f t="shared" si="71"/>
        <v>2.6059467028278029</v>
      </c>
      <c r="AK160" s="2">
        <f t="shared" si="71"/>
        <v>2.6059467028278029</v>
      </c>
      <c r="AL160" s="2">
        <f t="shared" si="71"/>
        <v>2.6059467028278029</v>
      </c>
      <c r="AM160" s="2">
        <f t="shared" si="71"/>
        <v>2.6059467028278029</v>
      </c>
      <c r="AN160" s="2">
        <f t="shared" si="71"/>
        <v>2.6059467028278029</v>
      </c>
      <c r="AO160" s="2">
        <f t="shared" si="71"/>
        <v>2.6059467028278029</v>
      </c>
      <c r="AP160" s="2">
        <f t="shared" si="71"/>
        <v>2.6059467028278029</v>
      </c>
      <c r="AQ160" s="57">
        <f t="shared" si="71"/>
        <v>2.6059467028278029</v>
      </c>
      <c r="AR160" s="2">
        <f t="shared" si="71"/>
        <v>2.6059467028278029</v>
      </c>
      <c r="AS160" s="2">
        <f t="shared" si="71"/>
        <v>2.6059467028278029</v>
      </c>
      <c r="AT160" s="2">
        <f t="shared" si="71"/>
        <v>0</v>
      </c>
      <c r="AU160" s="2">
        <f t="shared" si="71"/>
        <v>0</v>
      </c>
      <c r="AV160" s="2">
        <f t="shared" si="71"/>
        <v>0</v>
      </c>
      <c r="AW160" s="2"/>
    </row>
    <row r="161" spans="5:49" ht="16" outlineLevel="1">
      <c r="E161" s="44">
        <f t="shared" si="66"/>
        <v>35155</v>
      </c>
      <c r="G161" s="2" t="s">
        <v>101</v>
      </c>
      <c r="I161" s="2">
        <f t="shared" si="70"/>
        <v>38.817199371414823</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0</v>
      </c>
      <c r="AB161" s="2">
        <f t="shared" si="71"/>
        <v>0</v>
      </c>
      <c r="AC161" s="2">
        <f t="shared" si="71"/>
        <v>0</v>
      </c>
      <c r="AD161" s="2">
        <f t="shared" si="71"/>
        <v>0</v>
      </c>
      <c r="AE161" s="2">
        <f t="shared" si="71"/>
        <v>2.587813291427655</v>
      </c>
      <c r="AF161" s="2">
        <f t="shared" si="71"/>
        <v>2.587813291427655</v>
      </c>
      <c r="AG161" s="2">
        <f t="shared" si="71"/>
        <v>2.587813291427655</v>
      </c>
      <c r="AH161" s="2">
        <f t="shared" si="71"/>
        <v>2.587813291427655</v>
      </c>
      <c r="AI161" s="2">
        <f t="shared" si="71"/>
        <v>2.587813291427655</v>
      </c>
      <c r="AJ161" s="2">
        <f t="shared" si="71"/>
        <v>2.587813291427655</v>
      </c>
      <c r="AK161" s="2">
        <f t="shared" si="71"/>
        <v>2.587813291427655</v>
      </c>
      <c r="AL161" s="2">
        <f t="shared" si="71"/>
        <v>2.587813291427655</v>
      </c>
      <c r="AM161" s="2">
        <f t="shared" si="71"/>
        <v>2.587813291427655</v>
      </c>
      <c r="AN161" s="2">
        <f t="shared" si="71"/>
        <v>2.587813291427655</v>
      </c>
      <c r="AO161" s="2">
        <f t="shared" si="71"/>
        <v>2.587813291427655</v>
      </c>
      <c r="AP161" s="2">
        <f t="shared" si="71"/>
        <v>2.587813291427655</v>
      </c>
      <c r="AQ161" s="57">
        <f t="shared" si="71"/>
        <v>2.587813291427655</v>
      </c>
      <c r="AR161" s="2">
        <f t="shared" si="71"/>
        <v>2.587813291427655</v>
      </c>
      <c r="AS161" s="2">
        <f t="shared" si="71"/>
        <v>2.587813291427655</v>
      </c>
      <c r="AT161" s="2">
        <f t="shared" si="71"/>
        <v>0</v>
      </c>
      <c r="AU161" s="2">
        <f t="shared" si="71"/>
        <v>0</v>
      </c>
      <c r="AV161" s="2">
        <f t="shared" si="71"/>
        <v>0</v>
      </c>
      <c r="AW161" s="2"/>
    </row>
    <row r="162" spans="5:49" ht="16" outlineLevel="1">
      <c r="E162" s="44">
        <f t="shared" si="66"/>
        <v>35520</v>
      </c>
      <c r="G162" s="2" t="s">
        <v>101</v>
      </c>
      <c r="I162" s="2">
        <f t="shared" si="70"/>
        <v>27.945926762648355</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0</v>
      </c>
      <c r="AB162" s="2">
        <f t="shared" si="71"/>
        <v>0</v>
      </c>
      <c r="AC162" s="2">
        <f t="shared" si="71"/>
        <v>0</v>
      </c>
      <c r="AD162" s="2">
        <f t="shared" si="71"/>
        <v>0</v>
      </c>
      <c r="AE162" s="2">
        <f t="shared" si="71"/>
        <v>1.8630617841765569</v>
      </c>
      <c r="AF162" s="2">
        <f t="shared" si="71"/>
        <v>1.8630617841765569</v>
      </c>
      <c r="AG162" s="2">
        <f t="shared" si="71"/>
        <v>1.8630617841765569</v>
      </c>
      <c r="AH162" s="2">
        <f t="shared" si="71"/>
        <v>1.8630617841765569</v>
      </c>
      <c r="AI162" s="2">
        <f t="shared" si="71"/>
        <v>1.8630617841765569</v>
      </c>
      <c r="AJ162" s="2">
        <f t="shared" si="71"/>
        <v>1.8630617841765569</v>
      </c>
      <c r="AK162" s="2">
        <f t="shared" si="71"/>
        <v>1.8630617841765569</v>
      </c>
      <c r="AL162" s="2">
        <f t="shared" si="71"/>
        <v>1.8630617841765569</v>
      </c>
      <c r="AM162" s="2">
        <f t="shared" si="71"/>
        <v>1.8630617841765569</v>
      </c>
      <c r="AN162" s="2">
        <f t="shared" si="71"/>
        <v>1.8630617841765569</v>
      </c>
      <c r="AO162" s="2">
        <f t="shared" si="71"/>
        <v>1.8630617841765569</v>
      </c>
      <c r="AP162" s="2">
        <f t="shared" si="71"/>
        <v>1.8630617841765569</v>
      </c>
      <c r="AQ162" s="57">
        <f t="shared" si="71"/>
        <v>1.8630617841765569</v>
      </c>
      <c r="AR162" s="2">
        <f t="shared" si="71"/>
        <v>1.8630617841765569</v>
      </c>
      <c r="AS162" s="2">
        <f t="shared" si="71"/>
        <v>1.8630617841765569</v>
      </c>
      <c r="AT162" s="2">
        <f t="shared" si="71"/>
        <v>0</v>
      </c>
      <c r="AU162" s="2">
        <f t="shared" si="71"/>
        <v>0</v>
      </c>
      <c r="AV162" s="2">
        <f t="shared" si="71"/>
        <v>0</v>
      </c>
      <c r="AW162" s="2"/>
    </row>
    <row r="163" spans="5:49" ht="16" outlineLevel="1">
      <c r="E163" s="44">
        <f t="shared" si="66"/>
        <v>35885</v>
      </c>
      <c r="G163" s="2" t="s">
        <v>101</v>
      </c>
      <c r="I163" s="2">
        <f t="shared" si="70"/>
        <v>28.533800261266084</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0</v>
      </c>
      <c r="AB163" s="2">
        <f t="shared" si="71"/>
        <v>0</v>
      </c>
      <c r="AC163" s="2">
        <f t="shared" si="71"/>
        <v>0</v>
      </c>
      <c r="AD163" s="2">
        <f t="shared" si="71"/>
        <v>0</v>
      </c>
      <c r="AE163" s="2">
        <f t="shared" si="71"/>
        <v>1.9022533507510722</v>
      </c>
      <c r="AF163" s="2">
        <f t="shared" si="71"/>
        <v>1.9022533507510722</v>
      </c>
      <c r="AG163" s="2">
        <f t="shared" si="71"/>
        <v>1.9022533507510722</v>
      </c>
      <c r="AH163" s="2">
        <f t="shared" si="71"/>
        <v>1.9022533507510722</v>
      </c>
      <c r="AI163" s="2">
        <f t="shared" si="71"/>
        <v>1.9022533507510722</v>
      </c>
      <c r="AJ163" s="2">
        <f t="shared" si="71"/>
        <v>1.9022533507510722</v>
      </c>
      <c r="AK163" s="2">
        <f t="shared" si="71"/>
        <v>1.9022533507510722</v>
      </c>
      <c r="AL163" s="2">
        <f t="shared" si="71"/>
        <v>1.9022533507510722</v>
      </c>
      <c r="AM163" s="2">
        <f t="shared" si="71"/>
        <v>1.9022533507510722</v>
      </c>
      <c r="AN163" s="2">
        <f t="shared" si="71"/>
        <v>1.9022533507510722</v>
      </c>
      <c r="AO163" s="2">
        <f t="shared" si="71"/>
        <v>1.9022533507510722</v>
      </c>
      <c r="AP163" s="2">
        <f t="shared" si="71"/>
        <v>1.9022533507510722</v>
      </c>
      <c r="AQ163" s="57">
        <f t="shared" si="71"/>
        <v>1.9022533507510722</v>
      </c>
      <c r="AR163" s="2">
        <f t="shared" si="71"/>
        <v>1.9022533507510722</v>
      </c>
      <c r="AS163" s="2">
        <f t="shared" si="71"/>
        <v>1.9022533507510722</v>
      </c>
      <c r="AT163" s="2">
        <f t="shared" si="71"/>
        <v>0</v>
      </c>
      <c r="AU163" s="2">
        <f t="shared" si="71"/>
        <v>0</v>
      </c>
      <c r="AV163" s="2">
        <f t="shared" si="71"/>
        <v>0</v>
      </c>
      <c r="AW163" s="2"/>
    </row>
    <row r="164" spans="5:49" ht="16" outlineLevel="1">
      <c r="E164" s="44">
        <f t="shared" si="66"/>
        <v>36250</v>
      </c>
      <c r="G164" s="2" t="s">
        <v>101</v>
      </c>
      <c r="I164" s="2">
        <f t="shared" si="70"/>
        <v>28.968919487156143</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0</v>
      </c>
      <c r="AB164" s="2">
        <f t="shared" si="69"/>
        <v>0</v>
      </c>
      <c r="AC164" s="2">
        <f t="shared" ref="AC164:AR180" si="72">AC$154 * $I164</f>
        <v>0</v>
      </c>
      <c r="AD164" s="2">
        <f t="shared" si="72"/>
        <v>0</v>
      </c>
      <c r="AE164" s="2">
        <f t="shared" si="72"/>
        <v>1.9312612991437428</v>
      </c>
      <c r="AF164" s="2">
        <f t="shared" si="72"/>
        <v>1.9312612991437428</v>
      </c>
      <c r="AG164" s="2">
        <f t="shared" si="72"/>
        <v>1.9312612991437428</v>
      </c>
      <c r="AH164" s="2">
        <f t="shared" si="72"/>
        <v>1.9312612991437428</v>
      </c>
      <c r="AI164" s="2">
        <f t="shared" si="72"/>
        <v>1.9312612991437428</v>
      </c>
      <c r="AJ164" s="2">
        <f t="shared" si="72"/>
        <v>1.9312612991437428</v>
      </c>
      <c r="AK164" s="2">
        <f t="shared" si="72"/>
        <v>1.9312612991437428</v>
      </c>
      <c r="AL164" s="2">
        <f t="shared" si="72"/>
        <v>1.9312612991437428</v>
      </c>
      <c r="AM164" s="2">
        <f t="shared" si="72"/>
        <v>1.9312612991437428</v>
      </c>
      <c r="AN164" s="2">
        <f t="shared" si="72"/>
        <v>1.9312612991437428</v>
      </c>
      <c r="AO164" s="2">
        <f t="shared" si="72"/>
        <v>1.9312612991437428</v>
      </c>
      <c r="AP164" s="2">
        <f t="shared" si="72"/>
        <v>1.9312612991437428</v>
      </c>
      <c r="AQ164" s="57">
        <f t="shared" si="72"/>
        <v>1.9312612991437428</v>
      </c>
      <c r="AR164" s="2">
        <f t="shared" si="72"/>
        <v>1.9312612991437428</v>
      </c>
      <c r="AS164" s="2">
        <f t="shared" ref="AS164:AV179" si="73">AS$154 * $I164</f>
        <v>1.9312612991437428</v>
      </c>
      <c r="AT164" s="2">
        <f t="shared" si="73"/>
        <v>0</v>
      </c>
      <c r="AU164" s="2">
        <f t="shared" si="73"/>
        <v>0</v>
      </c>
      <c r="AV164" s="2">
        <f t="shared" si="73"/>
        <v>0</v>
      </c>
      <c r="AW164" s="2"/>
    </row>
    <row r="165" spans="5:49" ht="16" outlineLevel="1">
      <c r="E165" s="44">
        <f t="shared" si="66"/>
        <v>36616</v>
      </c>
      <c r="G165" s="2" t="s">
        <v>101</v>
      </c>
      <c r="I165" s="2">
        <f t="shared" si="70"/>
        <v>24.417327132077268</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v>
      </c>
      <c r="AB165" s="2">
        <f t="shared" si="69"/>
        <v>0</v>
      </c>
      <c r="AC165" s="2">
        <f t="shared" si="72"/>
        <v>0</v>
      </c>
      <c r="AD165" s="2">
        <f t="shared" si="72"/>
        <v>0</v>
      </c>
      <c r="AE165" s="2">
        <f t="shared" si="72"/>
        <v>1.6278218088051513</v>
      </c>
      <c r="AF165" s="2">
        <f t="shared" si="72"/>
        <v>1.6278218088051513</v>
      </c>
      <c r="AG165" s="2">
        <f t="shared" si="72"/>
        <v>1.6278218088051513</v>
      </c>
      <c r="AH165" s="2">
        <f t="shared" si="72"/>
        <v>1.6278218088051513</v>
      </c>
      <c r="AI165" s="2">
        <f t="shared" si="72"/>
        <v>1.6278218088051513</v>
      </c>
      <c r="AJ165" s="2">
        <f t="shared" si="72"/>
        <v>1.6278218088051513</v>
      </c>
      <c r="AK165" s="2">
        <f t="shared" si="72"/>
        <v>1.6278218088051513</v>
      </c>
      <c r="AL165" s="2">
        <f t="shared" si="72"/>
        <v>1.6278218088051513</v>
      </c>
      <c r="AM165" s="2">
        <f t="shared" si="72"/>
        <v>1.6278218088051513</v>
      </c>
      <c r="AN165" s="2">
        <f t="shared" si="72"/>
        <v>1.6278218088051513</v>
      </c>
      <c r="AO165" s="2">
        <f t="shared" si="72"/>
        <v>1.6278218088051513</v>
      </c>
      <c r="AP165" s="2">
        <f t="shared" si="72"/>
        <v>1.6278218088051513</v>
      </c>
      <c r="AQ165" s="57">
        <f t="shared" si="72"/>
        <v>1.6278218088051513</v>
      </c>
      <c r="AR165" s="2">
        <f t="shared" si="72"/>
        <v>1.6278218088051513</v>
      </c>
      <c r="AS165" s="2">
        <f t="shared" si="73"/>
        <v>1.6278218088051513</v>
      </c>
      <c r="AT165" s="2">
        <f t="shared" si="73"/>
        <v>0</v>
      </c>
      <c r="AU165" s="2">
        <f t="shared" si="73"/>
        <v>0</v>
      </c>
      <c r="AV165" s="2">
        <f t="shared" si="73"/>
        <v>0</v>
      </c>
      <c r="AW165" s="2"/>
    </row>
    <row r="166" spans="5:49" ht="16" outlineLevel="1">
      <c r="E166" s="44">
        <f t="shared" si="66"/>
        <v>36981</v>
      </c>
      <c r="G166" s="2" t="s">
        <v>101</v>
      </c>
      <c r="I166" s="2">
        <f t="shared" si="70"/>
        <v>23.241758874762546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v>
      </c>
      <c r="AB166" s="2">
        <f t="shared" si="69"/>
        <v>0</v>
      </c>
      <c r="AC166" s="2">
        <f t="shared" si="72"/>
        <v>0</v>
      </c>
      <c r="AD166" s="2">
        <f t="shared" si="72"/>
        <v>0</v>
      </c>
      <c r="AE166" s="2">
        <f t="shared" si="72"/>
        <v>1.5494505916508363</v>
      </c>
      <c r="AF166" s="2">
        <f t="shared" si="72"/>
        <v>1.5494505916508363</v>
      </c>
      <c r="AG166" s="2">
        <f t="shared" si="72"/>
        <v>1.5494505916508363</v>
      </c>
      <c r="AH166" s="2">
        <f t="shared" si="72"/>
        <v>1.5494505916508363</v>
      </c>
      <c r="AI166" s="2">
        <f t="shared" si="72"/>
        <v>1.5494505916508363</v>
      </c>
      <c r="AJ166" s="2">
        <f t="shared" si="72"/>
        <v>1.5494505916508363</v>
      </c>
      <c r="AK166" s="2">
        <f t="shared" si="72"/>
        <v>1.5494505916508363</v>
      </c>
      <c r="AL166" s="2">
        <f t="shared" si="72"/>
        <v>1.5494505916508363</v>
      </c>
      <c r="AM166" s="2">
        <f t="shared" si="72"/>
        <v>1.5494505916508363</v>
      </c>
      <c r="AN166" s="2">
        <f t="shared" si="72"/>
        <v>1.5494505916508363</v>
      </c>
      <c r="AO166" s="2">
        <f t="shared" si="72"/>
        <v>1.5494505916508363</v>
      </c>
      <c r="AP166" s="2">
        <f t="shared" si="72"/>
        <v>1.5494505916508363</v>
      </c>
      <c r="AQ166" s="57">
        <f t="shared" si="72"/>
        <v>1.5494505916508363</v>
      </c>
      <c r="AR166" s="2">
        <f t="shared" si="72"/>
        <v>1.5494505916508363</v>
      </c>
      <c r="AS166" s="2">
        <f t="shared" si="73"/>
        <v>1.5494505916508363</v>
      </c>
      <c r="AT166" s="2">
        <f t="shared" si="73"/>
        <v>0</v>
      </c>
      <c r="AU166" s="2">
        <f t="shared" si="73"/>
        <v>0</v>
      </c>
      <c r="AV166" s="2">
        <f t="shared" si="73"/>
        <v>0</v>
      </c>
      <c r="AW166" s="2"/>
    </row>
    <row r="167" spans="5:49" ht="16" outlineLevel="1">
      <c r="E167" s="44">
        <f t="shared" si="66"/>
        <v>37346</v>
      </c>
      <c r="G167" s="2" t="s">
        <v>101</v>
      </c>
      <c r="I167" s="2">
        <f t="shared" si="70"/>
        <v>26.862673578266303</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1.7908449052177535</v>
      </c>
      <c r="AF167" s="2">
        <f t="shared" si="72"/>
        <v>1.7908449052177535</v>
      </c>
      <c r="AG167" s="2">
        <f t="shared" si="72"/>
        <v>1.7908449052177535</v>
      </c>
      <c r="AH167" s="2">
        <f t="shared" si="72"/>
        <v>1.7908449052177535</v>
      </c>
      <c r="AI167" s="2">
        <f t="shared" si="72"/>
        <v>1.7908449052177535</v>
      </c>
      <c r="AJ167" s="2">
        <f t="shared" si="72"/>
        <v>1.7908449052177535</v>
      </c>
      <c r="AK167" s="2">
        <f t="shared" si="72"/>
        <v>1.7908449052177535</v>
      </c>
      <c r="AL167" s="2">
        <f t="shared" si="72"/>
        <v>1.7908449052177535</v>
      </c>
      <c r="AM167" s="2">
        <f t="shared" si="72"/>
        <v>1.7908449052177535</v>
      </c>
      <c r="AN167" s="2">
        <f t="shared" si="72"/>
        <v>1.7908449052177535</v>
      </c>
      <c r="AO167" s="2">
        <f t="shared" si="72"/>
        <v>1.7908449052177535</v>
      </c>
      <c r="AP167" s="2">
        <f t="shared" si="72"/>
        <v>1.7908449052177535</v>
      </c>
      <c r="AQ167" s="57">
        <f t="shared" si="72"/>
        <v>1.7908449052177535</v>
      </c>
      <c r="AR167" s="2">
        <f t="shared" si="72"/>
        <v>1.7908449052177535</v>
      </c>
      <c r="AS167" s="2">
        <f t="shared" si="73"/>
        <v>1.7908449052177535</v>
      </c>
      <c r="AT167" s="2">
        <f t="shared" si="73"/>
        <v>0</v>
      </c>
      <c r="AU167" s="2">
        <f t="shared" si="73"/>
        <v>0</v>
      </c>
      <c r="AV167" s="2">
        <f t="shared" si="73"/>
        <v>0</v>
      </c>
      <c r="AW167" s="2"/>
    </row>
    <row r="168" spans="5:49" ht="16" outlineLevel="1">
      <c r="E168" s="44">
        <f t="shared" si="66"/>
        <v>37711</v>
      </c>
      <c r="G168" s="2" t="s">
        <v>101</v>
      </c>
      <c r="I168" s="2">
        <f t="shared" si="70"/>
        <v>21.758835254622046</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1.450589016974803</v>
      </c>
      <c r="AF168" s="2">
        <f t="shared" si="72"/>
        <v>1.450589016974803</v>
      </c>
      <c r="AG168" s="2">
        <f t="shared" si="72"/>
        <v>1.450589016974803</v>
      </c>
      <c r="AH168" s="2">
        <f t="shared" si="72"/>
        <v>1.450589016974803</v>
      </c>
      <c r="AI168" s="2">
        <f t="shared" si="72"/>
        <v>1.450589016974803</v>
      </c>
      <c r="AJ168" s="2">
        <f t="shared" si="72"/>
        <v>1.450589016974803</v>
      </c>
      <c r="AK168" s="2">
        <f t="shared" si="72"/>
        <v>1.450589016974803</v>
      </c>
      <c r="AL168" s="2">
        <f t="shared" si="72"/>
        <v>1.450589016974803</v>
      </c>
      <c r="AM168" s="2">
        <f t="shared" si="72"/>
        <v>1.450589016974803</v>
      </c>
      <c r="AN168" s="2">
        <f t="shared" si="72"/>
        <v>1.450589016974803</v>
      </c>
      <c r="AO168" s="2">
        <f t="shared" si="72"/>
        <v>1.450589016974803</v>
      </c>
      <c r="AP168" s="2">
        <f t="shared" si="72"/>
        <v>1.450589016974803</v>
      </c>
      <c r="AQ168" s="57">
        <f t="shared" si="72"/>
        <v>1.450589016974803</v>
      </c>
      <c r="AR168" s="2">
        <f t="shared" si="72"/>
        <v>1.450589016974803</v>
      </c>
      <c r="AS168" s="2">
        <f t="shared" si="73"/>
        <v>1.450589016974803</v>
      </c>
      <c r="AT168" s="2">
        <f t="shared" si="73"/>
        <v>0</v>
      </c>
      <c r="AU168" s="2">
        <f t="shared" si="73"/>
        <v>0</v>
      </c>
      <c r="AV168" s="2">
        <f t="shared" si="73"/>
        <v>0</v>
      </c>
      <c r="AW168" s="2"/>
    </row>
    <row r="169" spans="5:49" ht="16" outlineLevel="1">
      <c r="E169" s="44">
        <f t="shared" si="66"/>
        <v>38077</v>
      </c>
      <c r="G169" s="2" t="s">
        <v>101</v>
      </c>
      <c r="I169" s="2">
        <f t="shared" si="70"/>
        <v>18.670582127328192</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1.2447054751552127</v>
      </c>
      <c r="AF169" s="2">
        <f t="shared" si="72"/>
        <v>1.2447054751552127</v>
      </c>
      <c r="AG169" s="2">
        <f t="shared" si="72"/>
        <v>1.2447054751552127</v>
      </c>
      <c r="AH169" s="2">
        <f t="shared" si="72"/>
        <v>1.2447054751552127</v>
      </c>
      <c r="AI169" s="2">
        <f t="shared" si="72"/>
        <v>1.2447054751552127</v>
      </c>
      <c r="AJ169" s="2">
        <f t="shared" si="72"/>
        <v>1.2447054751552127</v>
      </c>
      <c r="AK169" s="2">
        <f t="shared" si="72"/>
        <v>1.2447054751552127</v>
      </c>
      <c r="AL169" s="2">
        <f t="shared" si="72"/>
        <v>1.2447054751552127</v>
      </c>
      <c r="AM169" s="2">
        <f t="shared" si="72"/>
        <v>1.2447054751552127</v>
      </c>
      <c r="AN169" s="2">
        <f t="shared" si="72"/>
        <v>1.2447054751552127</v>
      </c>
      <c r="AO169" s="2">
        <f t="shared" si="72"/>
        <v>1.2447054751552127</v>
      </c>
      <c r="AP169" s="2">
        <f t="shared" si="72"/>
        <v>1.2447054751552127</v>
      </c>
      <c r="AQ169" s="57">
        <f t="shared" si="72"/>
        <v>1.2447054751552127</v>
      </c>
      <c r="AR169" s="2">
        <f t="shared" si="72"/>
        <v>1.2447054751552127</v>
      </c>
      <c r="AS169" s="2">
        <f t="shared" si="73"/>
        <v>1.2447054751552127</v>
      </c>
      <c r="AT169" s="2">
        <f t="shared" si="73"/>
        <v>0</v>
      </c>
      <c r="AU169" s="2">
        <f t="shared" si="73"/>
        <v>0</v>
      </c>
      <c r="AV169" s="2">
        <f t="shared" si="73"/>
        <v>0</v>
      </c>
      <c r="AW169" s="2"/>
    </row>
    <row r="170" spans="5:49" ht="16" outlineLevel="1">
      <c r="E170" s="44">
        <f t="shared" si="66"/>
        <v>38442</v>
      </c>
      <c r="G170" s="2" t="s">
        <v>101</v>
      </c>
      <c r="I170" s="2">
        <f t="shared" si="70"/>
        <v>13.78252742627188</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0.91883516175145863</v>
      </c>
      <c r="AF170" s="2">
        <f t="shared" si="72"/>
        <v>0.91883516175145863</v>
      </c>
      <c r="AG170" s="2">
        <f t="shared" si="72"/>
        <v>0.91883516175145863</v>
      </c>
      <c r="AH170" s="2">
        <f t="shared" si="72"/>
        <v>0.91883516175145863</v>
      </c>
      <c r="AI170" s="2">
        <f t="shared" si="72"/>
        <v>0.91883516175145863</v>
      </c>
      <c r="AJ170" s="2">
        <f t="shared" si="72"/>
        <v>0.91883516175145863</v>
      </c>
      <c r="AK170" s="2">
        <f t="shared" si="72"/>
        <v>0.91883516175145863</v>
      </c>
      <c r="AL170" s="2">
        <f t="shared" si="72"/>
        <v>0.91883516175145863</v>
      </c>
      <c r="AM170" s="2">
        <f t="shared" si="72"/>
        <v>0.91883516175145863</v>
      </c>
      <c r="AN170" s="2">
        <f t="shared" si="72"/>
        <v>0.91883516175145863</v>
      </c>
      <c r="AO170" s="2">
        <f t="shared" si="72"/>
        <v>0.91883516175145863</v>
      </c>
      <c r="AP170" s="2">
        <f t="shared" si="72"/>
        <v>0.91883516175145863</v>
      </c>
      <c r="AQ170" s="57">
        <f t="shared" si="72"/>
        <v>0.91883516175145863</v>
      </c>
      <c r="AR170" s="2">
        <f t="shared" si="72"/>
        <v>0.91883516175145863</v>
      </c>
      <c r="AS170" s="2">
        <f t="shared" si="73"/>
        <v>0.91883516175145863</v>
      </c>
      <c r="AT170" s="2">
        <f t="shared" si="73"/>
        <v>0</v>
      </c>
      <c r="AU170" s="2">
        <f t="shared" si="73"/>
        <v>0</v>
      </c>
      <c r="AV170" s="2">
        <f t="shared" si="73"/>
        <v>0</v>
      </c>
      <c r="AW170" s="2"/>
    </row>
    <row r="171" spans="5:49" ht="16" outlineLevel="1">
      <c r="E171" s="44">
        <f t="shared" si="66"/>
        <v>38807</v>
      </c>
      <c r="G171" s="2" t="s">
        <v>101</v>
      </c>
      <c r="I171" s="2">
        <f t="shared" si="70"/>
        <v>11.198842689227812</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0.74658951261518747</v>
      </c>
      <c r="AF171" s="2">
        <f t="shared" si="72"/>
        <v>0.74658951261518747</v>
      </c>
      <c r="AG171" s="2">
        <f t="shared" si="72"/>
        <v>0.74658951261518747</v>
      </c>
      <c r="AH171" s="2">
        <f t="shared" si="72"/>
        <v>0.74658951261518747</v>
      </c>
      <c r="AI171" s="2">
        <f t="shared" si="72"/>
        <v>0.74658951261518747</v>
      </c>
      <c r="AJ171" s="2">
        <f t="shared" si="72"/>
        <v>0.74658951261518747</v>
      </c>
      <c r="AK171" s="2">
        <f t="shared" si="72"/>
        <v>0.74658951261518747</v>
      </c>
      <c r="AL171" s="2">
        <f t="shared" si="72"/>
        <v>0.74658951261518747</v>
      </c>
      <c r="AM171" s="2">
        <f t="shared" si="72"/>
        <v>0.74658951261518747</v>
      </c>
      <c r="AN171" s="2">
        <f t="shared" si="72"/>
        <v>0.74658951261518747</v>
      </c>
      <c r="AO171" s="2">
        <f t="shared" si="72"/>
        <v>0.74658951261518747</v>
      </c>
      <c r="AP171" s="2">
        <f t="shared" si="72"/>
        <v>0.74658951261518747</v>
      </c>
      <c r="AQ171" s="57">
        <f t="shared" si="72"/>
        <v>0.74658951261518747</v>
      </c>
      <c r="AR171" s="2">
        <f t="shared" si="72"/>
        <v>0.74658951261518747</v>
      </c>
      <c r="AS171" s="2">
        <f t="shared" si="73"/>
        <v>0.74658951261518747</v>
      </c>
      <c r="AT171" s="2">
        <f t="shared" si="73"/>
        <v>0</v>
      </c>
      <c r="AU171" s="2">
        <f t="shared" si="73"/>
        <v>0</v>
      </c>
      <c r="AV171" s="2">
        <f t="shared" si="73"/>
        <v>0</v>
      </c>
      <c r="AW171" s="2"/>
    </row>
    <row r="172" spans="5:49" ht="16" outlineLevel="1">
      <c r="E172" s="44">
        <f t="shared" si="66"/>
        <v>39172</v>
      </c>
      <c r="G172" s="2" t="s">
        <v>101</v>
      </c>
      <c r="I172" s="2">
        <f t="shared" si="70"/>
        <v>9.505497386992964</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0.63369982579953088</v>
      </c>
      <c r="AF172" s="2">
        <f t="shared" si="72"/>
        <v>0.63369982579953088</v>
      </c>
      <c r="AG172" s="2">
        <f t="shared" si="72"/>
        <v>0.63369982579953088</v>
      </c>
      <c r="AH172" s="2">
        <f t="shared" si="72"/>
        <v>0.63369982579953088</v>
      </c>
      <c r="AI172" s="2">
        <f t="shared" si="72"/>
        <v>0.63369982579953088</v>
      </c>
      <c r="AJ172" s="2">
        <f t="shared" si="72"/>
        <v>0.63369982579953088</v>
      </c>
      <c r="AK172" s="2">
        <f t="shared" si="72"/>
        <v>0.63369982579953088</v>
      </c>
      <c r="AL172" s="2">
        <f t="shared" si="72"/>
        <v>0.63369982579953088</v>
      </c>
      <c r="AM172" s="2">
        <f t="shared" si="72"/>
        <v>0.63369982579953088</v>
      </c>
      <c r="AN172" s="2">
        <f t="shared" si="72"/>
        <v>0.63369982579953088</v>
      </c>
      <c r="AO172" s="2">
        <f t="shared" si="72"/>
        <v>0.63369982579953088</v>
      </c>
      <c r="AP172" s="2">
        <f t="shared" si="72"/>
        <v>0.63369982579953088</v>
      </c>
      <c r="AQ172" s="57">
        <f t="shared" si="72"/>
        <v>0.63369982579953088</v>
      </c>
      <c r="AR172" s="2">
        <f t="shared" si="72"/>
        <v>0.63369982579953088</v>
      </c>
      <c r="AS172" s="2">
        <f t="shared" si="73"/>
        <v>0.63369982579953088</v>
      </c>
      <c r="AT172" s="2">
        <f t="shared" si="73"/>
        <v>0</v>
      </c>
      <c r="AU172" s="2">
        <f t="shared" si="73"/>
        <v>0</v>
      </c>
      <c r="AV172" s="2">
        <f t="shared" si="73"/>
        <v>0</v>
      </c>
      <c r="AW172" s="2"/>
    </row>
    <row r="173" spans="5:49" ht="16" outlineLevel="1">
      <c r="E173" s="44">
        <f t="shared" si="66"/>
        <v>39538</v>
      </c>
      <c r="G173" s="2" t="s">
        <v>101</v>
      </c>
      <c r="I173" s="2">
        <f t="shared" si="70"/>
        <v>6.8605003029968694</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0.45736668686645793</v>
      </c>
      <c r="AF173" s="2">
        <f t="shared" si="72"/>
        <v>0.45736668686645793</v>
      </c>
      <c r="AG173" s="2">
        <f t="shared" si="72"/>
        <v>0.45736668686645793</v>
      </c>
      <c r="AH173" s="2">
        <f t="shared" si="72"/>
        <v>0.45736668686645793</v>
      </c>
      <c r="AI173" s="2">
        <f t="shared" si="72"/>
        <v>0.45736668686645793</v>
      </c>
      <c r="AJ173" s="2">
        <f t="shared" si="72"/>
        <v>0.45736668686645793</v>
      </c>
      <c r="AK173" s="2">
        <f t="shared" si="72"/>
        <v>0.45736668686645793</v>
      </c>
      <c r="AL173" s="2">
        <f t="shared" si="72"/>
        <v>0.45736668686645793</v>
      </c>
      <c r="AM173" s="2">
        <f t="shared" si="72"/>
        <v>0.45736668686645793</v>
      </c>
      <c r="AN173" s="2">
        <f t="shared" si="72"/>
        <v>0.45736668686645793</v>
      </c>
      <c r="AO173" s="2">
        <f t="shared" si="72"/>
        <v>0.45736668686645793</v>
      </c>
      <c r="AP173" s="2">
        <f t="shared" si="72"/>
        <v>0.45736668686645793</v>
      </c>
      <c r="AQ173" s="57">
        <f t="shared" si="72"/>
        <v>0.45736668686645793</v>
      </c>
      <c r="AR173" s="2">
        <f t="shared" si="72"/>
        <v>0.45736668686645793</v>
      </c>
      <c r="AS173" s="2">
        <f t="shared" si="73"/>
        <v>0.45736668686645793</v>
      </c>
      <c r="AT173" s="2">
        <f t="shared" si="73"/>
        <v>0</v>
      </c>
      <c r="AU173" s="2">
        <f t="shared" si="73"/>
        <v>0</v>
      </c>
      <c r="AV173" s="2">
        <f t="shared" si="73"/>
        <v>0</v>
      </c>
      <c r="AW173" s="2"/>
    </row>
    <row r="174" spans="5:49" ht="16" outlineLevel="1">
      <c r="E174" s="44">
        <f t="shared" si="66"/>
        <v>39903</v>
      </c>
      <c r="G174" s="2" t="s">
        <v>101</v>
      </c>
      <c r="I174" s="2">
        <f t="shared" si="70"/>
        <v>3.3638029756629506</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0.22425353171086337</v>
      </c>
      <c r="AF174" s="2">
        <f t="shared" si="72"/>
        <v>0.22425353171086337</v>
      </c>
      <c r="AG174" s="2">
        <f t="shared" si="72"/>
        <v>0.22425353171086337</v>
      </c>
      <c r="AH174" s="2">
        <f t="shared" si="72"/>
        <v>0.22425353171086337</v>
      </c>
      <c r="AI174" s="2">
        <f t="shared" si="72"/>
        <v>0.22425353171086337</v>
      </c>
      <c r="AJ174" s="2">
        <f t="shared" si="72"/>
        <v>0.22425353171086337</v>
      </c>
      <c r="AK174" s="2">
        <f t="shared" si="72"/>
        <v>0.22425353171086337</v>
      </c>
      <c r="AL174" s="2">
        <f t="shared" si="72"/>
        <v>0.22425353171086337</v>
      </c>
      <c r="AM174" s="2">
        <f t="shared" si="72"/>
        <v>0.22425353171086337</v>
      </c>
      <c r="AN174" s="2">
        <f t="shared" si="72"/>
        <v>0.22425353171086337</v>
      </c>
      <c r="AO174" s="2">
        <f t="shared" si="72"/>
        <v>0.22425353171086337</v>
      </c>
      <c r="AP174" s="2">
        <f t="shared" si="72"/>
        <v>0.22425353171086337</v>
      </c>
      <c r="AQ174" s="57">
        <f t="shared" si="72"/>
        <v>0.22425353171086337</v>
      </c>
      <c r="AR174" s="2">
        <f t="shared" si="72"/>
        <v>0.22425353171086337</v>
      </c>
      <c r="AS174" s="2">
        <f t="shared" si="73"/>
        <v>0.22425353171086337</v>
      </c>
      <c r="AT174" s="2">
        <f t="shared" si="73"/>
        <v>0</v>
      </c>
      <c r="AU174" s="2">
        <f t="shared" si="73"/>
        <v>0</v>
      </c>
      <c r="AV174" s="2">
        <f t="shared" si="73"/>
        <v>0</v>
      </c>
      <c r="AW174" s="2"/>
    </row>
    <row r="175" spans="5:49" ht="16"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 outlineLevel="1">
      <c r="B201" s="34"/>
      <c r="C201" s="34"/>
      <c r="D201" s="34"/>
      <c r="E201" s="34" t="s">
        <v>888</v>
      </c>
      <c r="F201" s="34"/>
      <c r="G201" s="7" t="s">
        <v>278</v>
      </c>
      <c r="H201" s="7"/>
      <c r="I201" s="46"/>
      <c r="J201" s="34"/>
      <c r="K201" s="34">
        <f t="shared" ref="K201:AV201" si="83">K$17 * K54 + K$18 * K56</f>
        <v>38</v>
      </c>
      <c r="L201" s="34">
        <f t="shared" si="83"/>
        <v>38</v>
      </c>
      <c r="M201" s="34">
        <f t="shared" si="83"/>
        <v>38</v>
      </c>
      <c r="N201" s="34">
        <f t="shared" si="83"/>
        <v>38</v>
      </c>
      <c r="O201" s="34">
        <f t="shared" si="83"/>
        <v>38</v>
      </c>
      <c r="P201" s="34">
        <f t="shared" si="83"/>
        <v>38</v>
      </c>
      <c r="Q201" s="34">
        <f t="shared" si="83"/>
        <v>38</v>
      </c>
      <c r="R201" s="34">
        <f t="shared" si="83"/>
        <v>38</v>
      </c>
      <c r="S201" s="34">
        <f t="shared" si="83"/>
        <v>38</v>
      </c>
      <c r="T201" s="34">
        <f t="shared" si="83"/>
        <v>38</v>
      </c>
      <c r="U201" s="34">
        <f t="shared" si="83"/>
        <v>38</v>
      </c>
      <c r="V201" s="34">
        <f t="shared" si="83"/>
        <v>38</v>
      </c>
      <c r="W201" s="34">
        <f t="shared" si="83"/>
        <v>38</v>
      </c>
      <c r="X201" s="34">
        <f t="shared" si="83"/>
        <v>38</v>
      </c>
      <c r="Y201" s="34">
        <f t="shared" si="83"/>
        <v>38</v>
      </c>
      <c r="Z201" s="34">
        <f t="shared" si="83"/>
        <v>38</v>
      </c>
      <c r="AA201" s="34">
        <f t="shared" si="83"/>
        <v>38</v>
      </c>
      <c r="AB201" s="34">
        <f t="shared" si="83"/>
        <v>38</v>
      </c>
      <c r="AC201" s="34">
        <f t="shared" si="83"/>
        <v>38</v>
      </c>
      <c r="AD201" s="34">
        <f t="shared" si="83"/>
        <v>38</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 outlineLevel="1">
      <c r="B202" s="34"/>
      <c r="C202" s="34"/>
      <c r="D202" s="34"/>
      <c r="E202" s="34" t="s">
        <v>873</v>
      </c>
      <c r="F202" s="34"/>
      <c r="G202" s="7" t="s">
        <v>206</v>
      </c>
      <c r="H202" s="7"/>
      <c r="I202" s="46"/>
      <c r="J202" s="34"/>
      <c r="K202" s="142">
        <f t="shared" ref="K202:AV202" si="84">K$17 * K55 + K$18 * K57</f>
        <v>2.6315789473684209E-2</v>
      </c>
      <c r="L202" s="142">
        <f t="shared" si="84"/>
        <v>2.6315789473684209E-2</v>
      </c>
      <c r="M202" s="142">
        <f t="shared" si="84"/>
        <v>2.6315789473684209E-2</v>
      </c>
      <c r="N202" s="142">
        <f t="shared" si="84"/>
        <v>2.6315789473684209E-2</v>
      </c>
      <c r="O202" s="142">
        <f t="shared" si="84"/>
        <v>2.6315789473684209E-2</v>
      </c>
      <c r="P202" s="142">
        <f t="shared" si="84"/>
        <v>2.6315789473684209E-2</v>
      </c>
      <c r="Q202" s="142">
        <f t="shared" si="84"/>
        <v>2.6315789473684209E-2</v>
      </c>
      <c r="R202" s="142">
        <f t="shared" si="84"/>
        <v>2.6315789473684209E-2</v>
      </c>
      <c r="S202" s="142">
        <f t="shared" si="84"/>
        <v>2.6315789473684209E-2</v>
      </c>
      <c r="T202" s="142">
        <f t="shared" si="84"/>
        <v>2.6315789473684209E-2</v>
      </c>
      <c r="U202" s="142">
        <f t="shared" si="84"/>
        <v>2.6315789473684209E-2</v>
      </c>
      <c r="V202" s="142">
        <f t="shared" si="84"/>
        <v>2.6315789473684209E-2</v>
      </c>
      <c r="W202" s="142">
        <f t="shared" si="84"/>
        <v>2.6315789473684209E-2</v>
      </c>
      <c r="X202" s="142">
        <f t="shared" si="84"/>
        <v>2.6315789473684209E-2</v>
      </c>
      <c r="Y202" s="142">
        <f t="shared" si="84"/>
        <v>2.6315789473684209E-2</v>
      </c>
      <c r="Z202" s="142">
        <f t="shared" si="84"/>
        <v>2.6315789473684209E-2</v>
      </c>
      <c r="AA202" s="142">
        <f t="shared" si="84"/>
        <v>2.6315789473684209E-2</v>
      </c>
      <c r="AB202" s="142">
        <f t="shared" si="84"/>
        <v>2.6315789473684209E-2</v>
      </c>
      <c r="AC202" s="142">
        <f t="shared" si="84"/>
        <v>2.6315789473684209E-2</v>
      </c>
      <c r="AD202" s="142">
        <f t="shared" si="84"/>
        <v>2.6315789473684209E-2</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8.0832631925227059</v>
      </c>
      <c r="AL204" s="34">
        <f t="shared" si="85"/>
        <v>15.423848377487657</v>
      </c>
      <c r="AM204" s="34">
        <f t="shared" si="85"/>
        <v>22.120354438520895</v>
      </c>
      <c r="AN204" s="34">
        <f t="shared" si="85"/>
        <v>28.290370436831559</v>
      </c>
      <c r="AO204" s="34">
        <f t="shared" si="85"/>
        <v>33.713378955433946</v>
      </c>
      <c r="AP204" s="34">
        <f t="shared" si="85"/>
        <v>38.526130002575613</v>
      </c>
      <c r="AQ204" s="36">
        <f t="shared" si="85"/>
        <v>42.753842432209815</v>
      </c>
      <c r="AR204" s="34">
        <f t="shared" si="85"/>
        <v>46.718667249807694</v>
      </c>
      <c r="AS204" s="34">
        <f t="shared" si="85"/>
        <v>46.718667249807694</v>
      </c>
      <c r="AT204" s="34">
        <f t="shared" si="85"/>
        <v>46.718667249807694</v>
      </c>
      <c r="AU204" s="34">
        <f t="shared" si="85"/>
        <v>46.718667249807694</v>
      </c>
      <c r="AV204" s="34">
        <f t="shared" si="85"/>
        <v>46.718667249807694</v>
      </c>
    </row>
    <row r="205" spans="1:49">
      <c r="AQ205" s="220"/>
    </row>
    <row r="206" spans="1:49" ht="16">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8.0832631925227059</v>
      </c>
      <c r="AL208" s="2">
        <f t="shared" si="86"/>
        <v>15.423848377487657</v>
      </c>
      <c r="AM208" s="2">
        <f t="shared" si="86"/>
        <v>22.120354438520895</v>
      </c>
      <c r="AN208" s="2">
        <f t="shared" si="86"/>
        <v>28.290370436831559</v>
      </c>
      <c r="AO208" s="2">
        <f t="shared" si="86"/>
        <v>33.713378955433946</v>
      </c>
      <c r="AP208" s="2">
        <f t="shared" si="86"/>
        <v>38.526130002575613</v>
      </c>
      <c r="AQ208" s="57">
        <f t="shared" si="86"/>
        <v>42.753842432209815</v>
      </c>
      <c r="AR208" s="2">
        <f t="shared" si="86"/>
        <v>46.718667249807694</v>
      </c>
      <c r="AS208" s="2">
        <f t="shared" si="86"/>
        <v>46.718667249807694</v>
      </c>
      <c r="AT208" s="2">
        <f t="shared" si="86"/>
        <v>46.718667249807694</v>
      </c>
      <c r="AU208" s="2">
        <f t="shared" si="86"/>
        <v>46.718667249807694</v>
      </c>
      <c r="AV208" s="2">
        <f t="shared" si="86"/>
        <v>46.718667249807694</v>
      </c>
    </row>
    <row r="209" spans="5:49" outlineLevel="1">
      <c r="AQ209" s="220"/>
    </row>
    <row r="210" spans="5:49" ht="16"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 outlineLevel="1">
      <c r="E235" s="44">
        <f>INDEX($K$4:$AV$4,,COUNT(E$209:E234)+1)</f>
        <v>42460</v>
      </c>
      <c r="G235" s="2" t="s">
        <v>101</v>
      </c>
      <c r="I235" s="2" cm="1">
        <f t="array" ref="I235">INDEX($K$25:$AV$25,,MATCH(E235,$K$4:$AV$4,0))</f>
        <v>186.92546132708756</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8.0832631925227059</v>
      </c>
      <c r="AL235" s="2">
        <f>IF(AK$4=$E235, $I235*AK$202,0) + IF(AK$4&gt;$E235,MIN(AK235,$I235-SUM($J235:AK235)))</f>
        <v>8.0832631925227059</v>
      </c>
      <c r="AM235" s="2">
        <f>IF(AL$4=$E235, $I235*AL$202,0) + IF(AL$4&gt;$E235,MIN(AL235,$I235-SUM($J235:AL235)))</f>
        <v>8.0832631925227059</v>
      </c>
      <c r="AN235" s="2">
        <f>IF(AM$4=$E235, $I235*AM$202,0) + IF(AM$4&gt;$E235,MIN(AM235,$I235-SUM($J235:AM235)))</f>
        <v>8.0832631925227059</v>
      </c>
      <c r="AO235" s="2">
        <f>IF(AN$4=$E235, $I235*AN$202,0) + IF(AN$4&gt;$E235,MIN(AN235,$I235-SUM($J235:AN235)))</f>
        <v>8.0832631925227059</v>
      </c>
      <c r="AP235" s="2">
        <f>IF(AO$4=$E235, $I235*AO$202,0) + IF(AO$4&gt;$E235,MIN(AO235,$I235-SUM($J235:AO235)))</f>
        <v>8.0832631925227059</v>
      </c>
      <c r="AQ235" s="57">
        <f>IF(AP$4=$E235, $I235*AP$202,0) + IF(AP$4&gt;$E235,MIN(AP235,$I235-SUM($J235:AP235)))</f>
        <v>8.0832631925227059</v>
      </c>
      <c r="AR235" s="2">
        <f>IF(AQ$4=$E235, $I235*AQ$202,0) + IF(AQ$4&gt;$E235,MIN(AQ235,$I235-SUM($J235:AQ235)))</f>
        <v>8.0832631925227059</v>
      </c>
      <c r="AS235" s="2">
        <f>IF(AR$4=$E235, $I235*AR$202,0) + IF(AR$4&gt;$E235,MIN(AR235,$I235-SUM($J235:AR235)))</f>
        <v>8.0832631925227059</v>
      </c>
      <c r="AT235" s="2">
        <f>IF(AS$4=$E235, $I235*AS$202,0) + IF(AS$4&gt;$E235,MIN(AS235,$I235-SUM($J235:AS235)))</f>
        <v>8.0832631925227059</v>
      </c>
      <c r="AU235" s="2">
        <f>IF(AT$4=$E235, $I235*AT$202,0) + IF(AT$4&gt;$E235,MIN(AT235,$I235-SUM($J235:AT235)))</f>
        <v>8.0832631925227059</v>
      </c>
      <c r="AV235" s="2">
        <f>IF(AU$4=$E235, $I235*AU$202,0) + IF(AU$4&gt;$E235,MIN(AU235,$I235-SUM($J235:AU235)))</f>
        <v>8.0832631925227059</v>
      </c>
      <c r="AW235" s="2"/>
    </row>
    <row r="236" spans="5:49" ht="16" outlineLevel="1">
      <c r="E236" s="44">
        <f>INDEX($K$4:$AV$4,,COUNT(E$209:E235)+1)</f>
        <v>42825</v>
      </c>
      <c r="G236" s="2" t="s">
        <v>101</v>
      </c>
      <c r="I236" s="2" cm="1">
        <f t="array" ref="I236">INDEX($K$25:$AV$25,,MATCH(E236,$K$4:$AV$4,0))</f>
        <v>192.69036110532994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7.3405851849649508</v>
      </c>
      <c r="AM236" s="2">
        <f>IF(AL$4=$E236, $I236*AL$202,0) + IF(AL$4&gt;$E236,MIN(AL236,$I236-SUM($J236:AL236)))</f>
        <v>7.3405851849649508</v>
      </c>
      <c r="AN236" s="2">
        <f>IF(AM$4=$E236, $I236*AM$202,0) + IF(AM$4&gt;$E236,MIN(AM236,$I236-SUM($J236:AM236)))</f>
        <v>7.3405851849649508</v>
      </c>
      <c r="AO236" s="2">
        <f>IF(AN$4=$E236, $I236*AN$202,0) + IF(AN$4&gt;$E236,MIN(AN236,$I236-SUM($J236:AN236)))</f>
        <v>7.3405851849649508</v>
      </c>
      <c r="AP236" s="2">
        <f>IF(AO$4=$E236, $I236*AO$202,0) + IF(AO$4&gt;$E236,MIN(AO236,$I236-SUM($J236:AO236)))</f>
        <v>7.3405851849649508</v>
      </c>
      <c r="AQ236" s="57">
        <f>IF(AP$4=$E236, $I236*AP$202,0) + IF(AP$4&gt;$E236,MIN(AP236,$I236-SUM($J236:AP236)))</f>
        <v>7.3405851849649508</v>
      </c>
      <c r="AR236" s="2">
        <f>IF(AQ$4=$E236, $I236*AQ$202,0) + IF(AQ$4&gt;$E236,MIN(AQ236,$I236-SUM($J236:AQ236)))</f>
        <v>7.3405851849649508</v>
      </c>
      <c r="AS236" s="2">
        <f>IF(AR$4=$E236, $I236*AR$202,0) + IF(AR$4&gt;$E236,MIN(AR236,$I236-SUM($J236:AR236)))</f>
        <v>7.3405851849649508</v>
      </c>
      <c r="AT236" s="2">
        <f>IF(AS$4=$E236, $I236*AS$202,0) + IF(AS$4&gt;$E236,MIN(AS236,$I236-SUM($J236:AS236)))</f>
        <v>7.3405851849649508</v>
      </c>
      <c r="AU236" s="2">
        <f>IF(AT$4=$E236, $I236*AT$202,0) + IF(AT$4&gt;$E236,MIN(AT236,$I236-SUM($J236:AT236)))</f>
        <v>7.3405851849649508</v>
      </c>
      <c r="AV236" s="2">
        <f>IF(AU$4=$E236, $I236*AU$202,0) + IF(AU$4&gt;$E236,MIN(AU236,$I236-SUM($J236:AU236)))</f>
        <v>7.3405851849649508</v>
      </c>
      <c r="AW236" s="2"/>
    </row>
    <row r="237" spans="5:49" ht="16" outlineLevel="1">
      <c r="E237" s="44">
        <f>INDEX($K$4:$AV$4,,COUNT(E$209:E236)+1)</f>
        <v>43190</v>
      </c>
      <c r="G237" s="2" t="s">
        <v>101</v>
      </c>
      <c r="I237" s="2" cm="1">
        <f t="array" ref="I237">INDEX($K$25:$AV$25,,MATCH(E237,$K$4:$AV$4,0))</f>
        <v>196.70986554285136</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6.6965060610332383</v>
      </c>
      <c r="AN237" s="2">
        <f>IF(AM$4=$E237, $I237*AM$202,0) + IF(AM$4&gt;$E237,MIN(AM237,$I237-SUM($J237:AM237)))</f>
        <v>6.6965060610332383</v>
      </c>
      <c r="AO237" s="2">
        <f>IF(AN$4=$E237, $I237*AN$202,0) + IF(AN$4&gt;$E237,MIN(AN237,$I237-SUM($J237:AN237)))</f>
        <v>6.6965060610332383</v>
      </c>
      <c r="AP237" s="2">
        <f>IF(AO$4=$E237, $I237*AO$202,0) + IF(AO$4&gt;$E237,MIN(AO237,$I237-SUM($J237:AO237)))</f>
        <v>6.6965060610332383</v>
      </c>
      <c r="AQ237" s="57">
        <f>IF(AP$4=$E237, $I237*AP$202,0) + IF(AP$4&gt;$E237,MIN(AP237,$I237-SUM($J237:AP237)))</f>
        <v>6.6965060610332383</v>
      </c>
      <c r="AR237" s="2">
        <f>IF(AQ$4=$E237, $I237*AQ$202,0) + IF(AQ$4&gt;$E237,MIN(AQ237,$I237-SUM($J237:AQ237)))</f>
        <v>6.6965060610332383</v>
      </c>
      <c r="AS237" s="2">
        <f>IF(AR$4=$E237, $I237*AR$202,0) + IF(AR$4&gt;$E237,MIN(AR237,$I237-SUM($J237:AR237)))</f>
        <v>6.6965060610332383</v>
      </c>
      <c r="AT237" s="2">
        <f>IF(AS$4=$E237, $I237*AS$202,0) + IF(AS$4&gt;$E237,MIN(AS237,$I237-SUM($J237:AS237)))</f>
        <v>6.6965060610332383</v>
      </c>
      <c r="AU237" s="2">
        <f>IF(AT$4=$E237, $I237*AT$202,0) + IF(AT$4&gt;$E237,MIN(AT237,$I237-SUM($J237:AT237)))</f>
        <v>6.6965060610332383</v>
      </c>
      <c r="AV237" s="2">
        <f>IF(AU$4=$E237, $I237*AU$202,0) + IF(AU$4&gt;$E237,MIN(AU237,$I237-SUM($J237:AU237)))</f>
        <v>6.6965060610332383</v>
      </c>
      <c r="AW237" s="2"/>
    </row>
    <row r="238" spans="5:49" ht="16" outlineLevel="1">
      <c r="E238" s="44">
        <f>INDEX($K$4:$AV$4,,COUNT(E$209:E237)+1)</f>
        <v>43555</v>
      </c>
      <c r="G238" s="2" t="s">
        <v>101</v>
      </c>
      <c r="I238" s="2" cm="1">
        <f t="array" ref="I238">INDEX($K$25:$AV$25,,MATCH(E238,$K$4:$AV$4,0))</f>
        <v>200.52551994509659</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6.1700159983106646</v>
      </c>
      <c r="AO238" s="2">
        <f>IF(AN$4=$E238, $I238*AN$202,0) + IF(AN$4&gt;$E238,MIN(AN238,$I238-SUM($J238:AN238)))</f>
        <v>6.1700159983106646</v>
      </c>
      <c r="AP238" s="2">
        <f>IF(AO$4=$E238, $I238*AO$202,0) + IF(AO$4&gt;$E238,MIN(AO238,$I238-SUM($J238:AO238)))</f>
        <v>6.1700159983106646</v>
      </c>
      <c r="AQ238" s="57">
        <f>IF(AP$4=$E238, $I238*AP$202,0) + IF(AP$4&gt;$E238,MIN(AP238,$I238-SUM($J238:AP238)))</f>
        <v>6.1700159983106646</v>
      </c>
      <c r="AR238" s="2">
        <f>IF(AQ$4=$E238, $I238*AQ$202,0) + IF(AQ$4&gt;$E238,MIN(AQ238,$I238-SUM($J238:AQ238)))</f>
        <v>6.1700159983106646</v>
      </c>
      <c r="AS238" s="2">
        <f>IF(AR$4=$E238, $I238*AR$202,0) + IF(AR$4&gt;$E238,MIN(AR238,$I238-SUM($J238:AR238)))</f>
        <v>6.1700159983106646</v>
      </c>
      <c r="AT238" s="2">
        <f>IF(AS$4=$E238, $I238*AS$202,0) + IF(AS$4&gt;$E238,MIN(AS238,$I238-SUM($J238:AS238)))</f>
        <v>6.1700159983106646</v>
      </c>
      <c r="AU238" s="2">
        <f>IF(AT$4=$E238, $I238*AT$202,0) + IF(AT$4&gt;$E238,MIN(AT238,$I238-SUM($J238:AT238)))</f>
        <v>6.1700159983106646</v>
      </c>
      <c r="AV238" s="2">
        <f>IF(AU$4=$E238, $I238*AU$202,0) + IF(AU$4&gt;$E238,MIN(AU238,$I238-SUM($J238:AU238)))</f>
        <v>6.1700159983106646</v>
      </c>
      <c r="AW238" s="2"/>
    </row>
    <row r="239" spans="5:49" ht="16" outlineLevel="1">
      <c r="E239" s="44">
        <f>INDEX($K$4:$AV$4,,COUNT(E$209:E238)+1)</f>
        <v>43921</v>
      </c>
      <c r="G239" s="2" t="s">
        <v>101</v>
      </c>
      <c r="I239" s="2" cm="1">
        <f t="array" ref="I239">INDEX($K$25:$AV$25,,MATCH(E239,$K$4:$AV$4,0))</f>
        <v>193.19467847520997</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5.4230085186023853</v>
      </c>
      <c r="AP239" s="2">
        <f>IF(AO$4=$E239, $I239*AO$202,0) + IF(AO$4&gt;$E239,MIN(AO239,$I239-SUM($J239:AO239)))</f>
        <v>5.4230085186023853</v>
      </c>
      <c r="AQ239" s="57">
        <f>IF(AP$4=$E239, $I239*AP$202,0) + IF(AP$4&gt;$E239,MIN(AP239,$I239-SUM($J239:AP239)))</f>
        <v>5.4230085186023853</v>
      </c>
      <c r="AR239" s="2">
        <f>IF(AQ$4=$E239, $I239*AQ$202,0) + IF(AQ$4&gt;$E239,MIN(AQ239,$I239-SUM($J239:AQ239)))</f>
        <v>5.4230085186023853</v>
      </c>
      <c r="AS239" s="2">
        <f>IF(AR$4=$E239, $I239*AR$202,0) + IF(AR$4&gt;$E239,MIN(AR239,$I239-SUM($J239:AR239)))</f>
        <v>5.4230085186023853</v>
      </c>
      <c r="AT239" s="2">
        <f>IF(AS$4=$E239, $I239*AS$202,0) + IF(AS$4&gt;$E239,MIN(AS239,$I239-SUM($J239:AS239)))</f>
        <v>5.4230085186023853</v>
      </c>
      <c r="AU239" s="2">
        <f>IF(AT$4=$E239, $I239*AT$202,0) + IF(AT$4&gt;$E239,MIN(AT239,$I239-SUM($J239:AT239)))</f>
        <v>5.4230085186023853</v>
      </c>
      <c r="AV239" s="2">
        <f>IF(AU$4=$E239, $I239*AU$202,0) + IF(AU$4&gt;$E239,MIN(AU239,$I239-SUM($J239:AU239)))</f>
        <v>5.4230085186023853</v>
      </c>
      <c r="AW239" s="2"/>
    </row>
    <row r="240" spans="5:49" ht="16" outlineLevel="1">
      <c r="E240" s="44">
        <f>INDEX($K$4:$AV$4,,COUNT(E$209:E239)+1)</f>
        <v>44286</v>
      </c>
      <c r="G240" s="2" t="s">
        <v>101</v>
      </c>
      <c r="I240" s="2" cm="1">
        <f t="array" ref="I240">INDEX($K$25:$AV$25,,MATCH(E240,$K$4:$AV$4,0))</f>
        <v>186.49410307673955</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4.8127510471416661</v>
      </c>
      <c r="AQ240" s="57">
        <f>IF(AP$4=$E240, $I240*AP$202,0) + IF(AP$4&gt;$E240,MIN(AP240,$I240-SUM($J240:AP240)))</f>
        <v>4.8127510471416661</v>
      </c>
      <c r="AR240" s="2">
        <f>IF(AQ$4=$E240, $I240*AQ$202,0) + IF(AQ$4&gt;$E240,MIN(AQ240,$I240-SUM($J240:AQ240)))</f>
        <v>4.8127510471416661</v>
      </c>
      <c r="AS240" s="2">
        <f>IF(AR$4=$E240, $I240*AR$202,0) + IF(AR$4&gt;$E240,MIN(AR240,$I240-SUM($J240:AR240)))</f>
        <v>4.8127510471416661</v>
      </c>
      <c r="AT240" s="2">
        <f>IF(AS$4=$E240, $I240*AS$202,0) + IF(AS$4&gt;$E240,MIN(AS240,$I240-SUM($J240:AS240)))</f>
        <v>4.8127510471416661</v>
      </c>
      <c r="AU240" s="2">
        <f>IF(AT$4=$E240, $I240*AT$202,0) + IF(AT$4&gt;$E240,MIN(AT240,$I240-SUM($J240:AT240)))</f>
        <v>4.8127510471416661</v>
      </c>
      <c r="AV240" s="2">
        <f>IF(AU$4=$E240, $I240*AU$202,0) + IF(AU$4&gt;$E240,MIN(AU240,$I240-SUM($J240:AU240)))</f>
        <v>4.8127510471416661</v>
      </c>
      <c r="AW240" s="2"/>
    </row>
    <row r="241" spans="1:49" ht="16" outlineLevel="1">
      <c r="E241" s="44">
        <f>INDEX($K$4:$AV$4,,COUNT(E$209:E240)+1)</f>
        <v>44651</v>
      </c>
      <c r="G241" s="2" t="s">
        <v>101</v>
      </c>
      <c r="I241" s="2" cm="1">
        <f t="array" ref="I241">INDEX($K$25:$AV$25,,MATCH(E241,$K$4:$AV$4,0))</f>
        <v>177.03545799093234</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4.227712429634205</v>
      </c>
      <c r="AR241" s="2">
        <f>IF(AQ$4=$E241, $I241*AQ$202,0) + IF(AQ$4&gt;$E241,MIN(AQ241,$I241-SUM($J241:AQ241)))</f>
        <v>4.227712429634205</v>
      </c>
      <c r="AS241" s="2">
        <f>IF(AR$4=$E241, $I241*AR$202,0) + IF(AR$4&gt;$E241,MIN(AR241,$I241-SUM($J241:AR241)))</f>
        <v>4.227712429634205</v>
      </c>
      <c r="AT241" s="2">
        <f>IF(AS$4=$E241, $I241*AS$202,0) + IF(AS$4&gt;$E241,MIN(AS241,$I241-SUM($J241:AS241)))</f>
        <v>4.227712429634205</v>
      </c>
      <c r="AU241" s="2">
        <f>IF(AT$4=$E241, $I241*AT$202,0) + IF(AT$4&gt;$E241,MIN(AT241,$I241-SUM($J241:AT241)))</f>
        <v>4.227712429634205</v>
      </c>
      <c r="AV241" s="2">
        <f>IF(AU$4=$E241, $I241*AU$202,0) + IF(AU$4&gt;$E241,MIN(AU241,$I241-SUM($J241:AU241)))</f>
        <v>4.227712429634205</v>
      </c>
      <c r="AW241" s="2"/>
    </row>
    <row r="242" spans="1:49" ht="16" outlineLevel="1">
      <c r="E242" s="44">
        <f>INDEX($K$4:$AV$4,,COUNT(E$209:E241)+1)</f>
        <v>45016</v>
      </c>
      <c r="G242" s="2" t="s">
        <v>101</v>
      </c>
      <c r="I242" s="2" cm="1">
        <f t="array" ref="I242">INDEX($K$25:$AV$25,,MATCH(E242,$K$4:$AV$4,0))</f>
        <v>178.41711679190453</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3.9648248175978789</v>
      </c>
      <c r="AS242" s="2">
        <f>IF(AR$4=$E242, $I242*AR$202,0) + IF(AR$4&gt;$E242,MIN(AR242,$I242-SUM($J242:AR242)))</f>
        <v>3.9648248175978789</v>
      </c>
      <c r="AT242" s="2">
        <f>IF(AS$4=$E242, $I242*AS$202,0) + IF(AS$4&gt;$E242,MIN(AS242,$I242-SUM($J242:AS242)))</f>
        <v>3.9648248175978789</v>
      </c>
      <c r="AU242" s="2">
        <f>IF(AT$4=$E242, $I242*AT$202,0) + IF(AT$4&gt;$E242,MIN(AT242,$I242-SUM($J242:AT242)))</f>
        <v>3.9648248175978789</v>
      </c>
      <c r="AV242" s="2">
        <f>IF(AU$4=$E242, $I242*AU$202,0) + IF(AU$4&gt;$E242,MIN(AU242,$I242-SUM($J242:AU242)))</f>
        <v>3.9648248175978789</v>
      </c>
      <c r="AW242" s="2"/>
    </row>
    <row r="243" spans="1:49" ht="16"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 outlineLevel="1">
      <c r="E248" s="44"/>
      <c r="I248" s="2"/>
      <c r="AQ248" s="220"/>
    </row>
    <row r="249" spans="1:49">
      <c r="AQ249" s="220"/>
    </row>
    <row r="250" spans="1:49" ht="16">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0</v>
      </c>
      <c r="AB253" s="145">
        <f t="shared" si="87"/>
        <v>0</v>
      </c>
      <c r="AC253" s="145">
        <f t="shared" si="87"/>
        <v>0</v>
      </c>
      <c r="AD253" s="145">
        <f t="shared" si="87"/>
        <v>0</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4.4903153921713423</v>
      </c>
      <c r="AT255" s="2">
        <f t="shared" si="88"/>
        <v>9.7733521242738242</v>
      </c>
      <c r="AU255" s="2">
        <f t="shared" si="88"/>
        <v>15.566242104697345</v>
      </c>
      <c r="AV255" s="2">
        <f t="shared" si="88"/>
        <v>21.537434261645814</v>
      </c>
    </row>
    <row r="256" spans="1:49">
      <c r="AQ256" s="220"/>
    </row>
    <row r="257" spans="1:49" ht="16">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 outlineLevel="1">
      <c r="E258" s="34"/>
      <c r="I258" s="2"/>
      <c r="AQ258" s="220"/>
    </row>
    <row r="259" spans="1:49" ht="16"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0</v>
      </c>
      <c r="AB259" s="145">
        <f t="shared" si="89"/>
        <v>0</v>
      </c>
      <c r="AC259" s="145">
        <f t="shared" si="89"/>
        <v>0</v>
      </c>
      <c r="AD259" s="145">
        <f t="shared" si="89"/>
        <v>0</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 outlineLevel="1">
      <c r="E260" s="34"/>
      <c r="I260" s="2"/>
      <c r="AQ260" s="220"/>
    </row>
    <row r="261" spans="1:49" ht="16"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4.4903153921713423</v>
      </c>
      <c r="AT261" s="2">
        <f t="shared" si="90"/>
        <v>9.7733521242738242</v>
      </c>
      <c r="AU261" s="2">
        <f t="shared" si="90"/>
        <v>15.566242104697345</v>
      </c>
      <c r="AV261" s="2">
        <f t="shared" si="90"/>
        <v>21.537434261645814</v>
      </c>
    </row>
    <row r="262" spans="1:49" ht="16" outlineLevel="1">
      <c r="K262" s="2"/>
      <c r="AQ262" s="220"/>
    </row>
    <row r="263" spans="1:49" ht="16"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 outlineLevel="1">
      <c r="D296" s="45"/>
      <c r="E296" s="44">
        <f>INDEX($K$4:$AV$4,,COUNT(E$262:E295)+1)</f>
        <v>45382</v>
      </c>
      <c r="G296" s="2" t="s">
        <v>101</v>
      </c>
      <c r="I296" s="2" cm="1">
        <f t="array" ref="I296">INDEX($K$26:$AV$26,,MATCH(E296,$K$4:$AV$4,0))</f>
        <v>202.0641926477104</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4.4903153921713423</v>
      </c>
      <c r="AT296" s="2">
        <f>IF(AS$4=$E296, $I296*AS$259,0) + IF(AS$4&gt;$E296,MIN(AS296,$I296-SUM($J296:AS296)))</f>
        <v>4.4903153921713423</v>
      </c>
      <c r="AU296" s="2">
        <f>IF(AT$4=$E296, $I296*AT$259,0) + IF(AT$4&gt;$E296,MIN(AT296,$I296-SUM($J296:AT296)))</f>
        <v>4.4903153921713423</v>
      </c>
      <c r="AV296" s="2">
        <f>IF(AU$4=$E296, $I296*AU$259,0) + IF(AU$4&gt;$E296,MIN(AU296,$I296-SUM($J296:AU296)))</f>
        <v>4.4903153921713423</v>
      </c>
      <c r="AW296" s="2"/>
    </row>
    <row r="297" spans="1:49" ht="16" outlineLevel="1">
      <c r="D297" s="45"/>
      <c r="E297" s="44">
        <f>INDEX($K$4:$AV$4,,COUNT(E$262:E296)+1)</f>
        <v>45747</v>
      </c>
      <c r="G297" s="2" t="s">
        <v>101</v>
      </c>
      <c r="I297" s="2" cm="1">
        <f t="array" ref="I297">INDEX($K$26:$AV$26,,MATCH(E297,$K$4:$AV$4,0))</f>
        <v>237.73665294461162</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5.2830367321024809</v>
      </c>
      <c r="AU297" s="2">
        <f>IF(AT$4=$E297, $I297*AT$259,0) + IF(AT$4&gt;$E297,MIN(AT297,$I297-SUM($J297:AT297)))</f>
        <v>5.2830367321024809</v>
      </c>
      <c r="AV297" s="2">
        <f>IF(AU$4=$E297, $I297*AU$259,0) + IF(AU$4&gt;$E297,MIN(AU297,$I297-SUM($J297:AU297)))</f>
        <v>5.2830367321024809</v>
      </c>
      <c r="AW297" s="2"/>
    </row>
    <row r="298" spans="1:49" ht="16" outlineLevel="1">
      <c r="D298" s="45"/>
      <c r="E298" s="44">
        <f>INDEX($K$4:$AV$4,,COUNT(E$262:E297)+1)</f>
        <v>46112</v>
      </c>
      <c r="G298" s="2" t="s">
        <v>101</v>
      </c>
      <c r="I298" s="2" cm="1">
        <f t="array" ref="I298">INDEX($K$26:$AV$26,,MATCH(E298,$K$4:$AV$4,0))</f>
        <v>260.68004911905837</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5.7928899804235199</v>
      </c>
      <c r="AV298" s="2">
        <f>IF(AU$4=$E298, $I298*AU$259,0) + IF(AU$4&gt;$E298,MIN(AU298,$I298-SUM($J298:AU298)))</f>
        <v>5.7928899804235199</v>
      </c>
      <c r="AW298" s="2"/>
    </row>
    <row r="299" spans="1:49" ht="16" outlineLevel="1">
      <c r="D299" s="45"/>
      <c r="E299" s="44">
        <f>INDEX($K$4:$AV$4,,COUNT(E$262:E298)+1)</f>
        <v>46477</v>
      </c>
      <c r="G299" s="2" t="s">
        <v>101</v>
      </c>
      <c r="I299" s="2" cm="1">
        <f t="array" ref="I299">INDEX($K$26:$AV$26,,MATCH(E299,$K$4:$AV$4,0))</f>
        <v>268.70364706268117</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5.9711921569484705</v>
      </c>
      <c r="AW299" s="2"/>
    </row>
    <row r="300" spans="1:49" ht="16" outlineLevel="1">
      <c r="D300" s="45"/>
      <c r="E300" s="44">
        <f>INDEX($K$4:$AV$4,,COUNT(E$262:E299)+1)</f>
        <v>46843</v>
      </c>
      <c r="G300" s="2" t="s">
        <v>101</v>
      </c>
      <c r="I300" s="2" cm="1">
        <f t="array" ref="I300">INDEX($K$26:$AV$26,,MATCH(E300,$K$4:$AV$4,0))</f>
        <v>273.6892286575378</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4" priority="18" operator="equal">
      <formula>FALSE()</formula>
    </cfRule>
  </conditionalFormatting>
  <conditionalFormatting sqref="K252:AV255">
    <cfRule type="cellIs" dxfId="83" priority="7" operator="equal">
      <formula>FALSE()</formula>
    </cfRule>
  </conditionalFormatting>
  <conditionalFormatting sqref="K259:AV259">
    <cfRule type="cellIs" dxfId="82" priority="1" operator="equal">
      <formula>FALSE()</formula>
    </cfRule>
  </conditionalFormatting>
  <conditionalFormatting sqref="AM2">
    <cfRule type="expression" dxfId="81" priority="2">
      <formula>mac_sensitivity=2</formula>
    </cfRule>
    <cfRule type="expression" dxfId="80" priority="3">
      <formula>mac_sensitivity=1</formula>
    </cfRule>
  </conditionalFormatting>
  <conditionalFormatting sqref="AM3">
    <cfRule type="expression" dxfId="79"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N18" activePane="bottomRight" state="frozen"/>
      <selection pane="topRight" activeCell="K1" sqref="K1"/>
      <selection pane="bottomLeft" activeCell="A5" sqref="A5"/>
      <selection pane="bottomRight" activeCell="AV30" sqref="AV30"/>
    </sheetView>
  </sheetViews>
  <sheetFormatPr defaultColWidth="0" defaultRowHeight="13.5" zeroHeight="1" outlineLevelCol="1"/>
  <cols>
    <col min="1" max="4" width="1.4609375" customWidth="1"/>
    <col min="5" max="5" width="65" customWidth="1"/>
    <col min="6" max="6" width="3" customWidth="1"/>
    <col min="7" max="7" width="12" customWidth="1"/>
    <col min="8" max="8" width="2.3828125" customWidth="1"/>
    <col min="9" max="9" width="11" customWidth="1"/>
    <col min="10" max="10" width="1.4609375" customWidth="1" collapsed="1"/>
    <col min="11" max="35" width="9.61328125" hidden="1" customWidth="1" outlineLevel="1"/>
    <col min="36" max="36" width="10" bestFit="1" customWidth="1"/>
    <col min="37" max="48" width="9.61328125" customWidth="1"/>
    <col min="49" max="49" width="3" customWidth="1"/>
    <col min="50" max="16384" width="9" hidden="1"/>
  </cols>
  <sheetData>
    <row r="1" spans="1:49" ht="18.5">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
      <c r="A2" s="181"/>
      <c r="B2" s="157" t="str">
        <f>UserInterface!E30</f>
        <v>SPD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4.1868818000000002E-2</v>
      </c>
      <c r="AV12" s="49">
        <f>InputSummary!AV182</f>
        <v>4.1308793199999999E-2</v>
      </c>
      <c r="AW12" s="48"/>
    </row>
    <row r="13" spans="1:49" s="21" customFormat="1" ht="16">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0.95981373347906451</v>
      </c>
      <c r="AV13" s="121">
        <f>1 / (1 + AV12)</f>
        <v>0.96032992953698604</v>
      </c>
      <c r="AW13" s="48"/>
    </row>
    <row r="14" spans="1:49" s="21" customFormat="1" ht="16">
      <c r="E14" s="41"/>
      <c r="H14" s="48"/>
      <c r="AJ14" s="13"/>
      <c r="AK14" s="13"/>
      <c r="AL14" s="13"/>
      <c r="AM14" s="13"/>
      <c r="AN14" s="13"/>
      <c r="AO14" s="13"/>
      <c r="AP14" s="13"/>
      <c r="AQ14" s="50"/>
      <c r="AR14" s="13"/>
      <c r="AS14" s="13"/>
      <c r="AT14" s="13"/>
      <c r="AU14" s="13"/>
      <c r="AV14" s="13"/>
      <c r="AW14" s="48"/>
    </row>
    <row r="15" spans="1:49" s="21" customFormat="1" ht="16">
      <c r="E15" s="41" t="s">
        <v>904</v>
      </c>
      <c r="G15" s="2" t="s">
        <v>101</v>
      </c>
      <c r="H15" s="48"/>
      <c r="AJ15" s="7"/>
      <c r="AK15" s="7"/>
      <c r="AL15" s="7"/>
      <c r="AM15" s="7"/>
      <c r="AN15" s="7"/>
      <c r="AO15" s="7"/>
      <c r="AP15" s="7"/>
      <c r="AQ15" s="65"/>
      <c r="AR15" s="7">
        <f t="shared" ref="AR15:AU15" si="1">AR46</f>
        <v>1995.7926750321012</v>
      </c>
      <c r="AS15" s="7">
        <f t="shared" si="1"/>
        <v>2066.6502534003771</v>
      </c>
      <c r="AT15" s="7">
        <f t="shared" si="1"/>
        <v>2196.3200372172564</v>
      </c>
      <c r="AU15" s="7">
        <f t="shared" si="1"/>
        <v>2334.131029305539</v>
      </c>
      <c r="AV15" s="7">
        <f>AV46</f>
        <v>2477.6454645485023</v>
      </c>
      <c r="AW15" s="48"/>
    </row>
    <row r="16" spans="1:49" s="21" customFormat="1" ht="16">
      <c r="E16" s="41"/>
      <c r="G16" s="2"/>
      <c r="H16" s="48"/>
      <c r="AJ16" s="7"/>
      <c r="AK16" s="7"/>
      <c r="AL16" s="7"/>
      <c r="AM16" s="7"/>
      <c r="AN16" s="7"/>
      <c r="AO16" s="7"/>
      <c r="AP16" s="7"/>
      <c r="AQ16" s="65"/>
      <c r="AR16" s="7"/>
      <c r="AS16" s="7"/>
      <c r="AT16" s="7"/>
      <c r="AU16" s="7"/>
      <c r="AV16" s="7"/>
      <c r="AW16" s="48"/>
    </row>
    <row r="17" spans="1:49" s="21" customFormat="1" ht="16">
      <c r="E17" s="47" t="s">
        <v>905</v>
      </c>
      <c r="G17" s="2" t="s">
        <v>101</v>
      </c>
      <c r="H17" s="48"/>
      <c r="AJ17" s="461"/>
      <c r="AK17" s="461"/>
      <c r="AL17" s="461"/>
      <c r="AM17" s="461"/>
      <c r="AN17" s="461"/>
      <c r="AO17" s="461"/>
      <c r="AP17" s="461"/>
      <c r="AQ17" s="386"/>
      <c r="AR17" s="461">
        <f t="shared" ref="AR17:AU17" si="2">AR13 * AR15</f>
        <v>1919.5231528820648</v>
      </c>
      <c r="AS17" s="461">
        <f t="shared" si="2"/>
        <v>1984.5490938196635</v>
      </c>
      <c r="AT17" s="461">
        <f t="shared" si="2"/>
        <v>2109.9590779396681</v>
      </c>
      <c r="AU17" s="461">
        <f t="shared" si="2"/>
        <v>2240.3310176670811</v>
      </c>
      <c r="AV17" s="461">
        <f>AV13 * AV15</f>
        <v>2379.3570943874961</v>
      </c>
      <c r="AW17" s="48"/>
    </row>
    <row r="18" spans="1:49" s="21" customFormat="1" ht="16">
      <c r="E18" s="41"/>
      <c r="H18" s="48"/>
      <c r="AJ18" s="8"/>
      <c r="AK18" s="8"/>
      <c r="AL18" s="8"/>
      <c r="AM18" s="8"/>
      <c r="AN18" s="8"/>
      <c r="AO18" s="8"/>
      <c r="AP18" s="8"/>
      <c r="AQ18" s="9"/>
      <c r="AR18" s="8"/>
      <c r="AS18" s="8"/>
      <c r="AT18" s="8"/>
      <c r="AU18" s="8"/>
      <c r="AV18" s="8"/>
      <c r="AW18" s="48"/>
    </row>
    <row r="19" spans="1:49" s="21" customFormat="1" ht="16">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
      <c r="E20" s="41" t="s">
        <v>907</v>
      </c>
      <c r="G20" s="2" t="s">
        <v>101</v>
      </c>
      <c r="H20" s="48"/>
      <c r="AJ20" s="7"/>
      <c r="AK20" s="7"/>
      <c r="AL20" s="7"/>
      <c r="AM20" s="7"/>
      <c r="AN20" s="7"/>
      <c r="AO20" s="7"/>
      <c r="AP20" s="7"/>
      <c r="AQ20" s="65"/>
      <c r="AR20" s="7">
        <f>AR43</f>
        <v>1962.6865204652076</v>
      </c>
      <c r="AS20" s="7">
        <f t="shared" ref="AS20:AV20" si="3">AS43</f>
        <v>1995.7926750321012</v>
      </c>
      <c r="AT20" s="7">
        <f t="shared" si="3"/>
        <v>2066.6502534003771</v>
      </c>
      <c r="AU20" s="7">
        <f t="shared" si="3"/>
        <v>2196.3200372172564</v>
      </c>
      <c r="AV20" s="7">
        <f t="shared" si="3"/>
        <v>2334.131029305539</v>
      </c>
      <c r="AW20" s="48"/>
    </row>
    <row r="21" spans="1:49" s="21" customFormat="1" ht="16">
      <c r="E21" s="41" t="s">
        <v>905</v>
      </c>
      <c r="G21" s="2" t="s">
        <v>101</v>
      </c>
      <c r="H21" s="48"/>
      <c r="AJ21" s="7"/>
      <c r="AK21" s="7"/>
      <c r="AL21" s="7"/>
      <c r="AM21" s="7"/>
      <c r="AN21" s="7"/>
      <c r="AO21" s="7"/>
      <c r="AP21" s="7"/>
      <c r="AQ21" s="65"/>
      <c r="AR21" s="7">
        <f>AR17</f>
        <v>1919.5231528820648</v>
      </c>
      <c r="AS21" s="7">
        <f t="shared" ref="AS21:AV21" si="4">AS17</f>
        <v>1984.5490938196635</v>
      </c>
      <c r="AT21" s="7">
        <f t="shared" si="4"/>
        <v>2109.9590779396681</v>
      </c>
      <c r="AU21" s="7">
        <f t="shared" si="4"/>
        <v>2240.3310176670811</v>
      </c>
      <c r="AV21" s="7">
        <f t="shared" si="4"/>
        <v>2379.3570943874961</v>
      </c>
      <c r="AW21" s="48"/>
    </row>
    <row r="22" spans="1:49" s="21" customFormat="1" ht="16">
      <c r="E22" s="47"/>
      <c r="H22" s="48"/>
      <c r="AJ22" s="7"/>
      <c r="AK22" s="7"/>
      <c r="AL22" s="7"/>
      <c r="AM22" s="7"/>
      <c r="AN22" s="7"/>
      <c r="AO22" s="7"/>
      <c r="AP22" s="7"/>
      <c r="AQ22" s="65"/>
      <c r="AR22" s="7"/>
      <c r="AS22" s="7"/>
      <c r="AT22" s="7"/>
      <c r="AU22" s="7"/>
      <c r="AV22" s="7"/>
      <c r="AW22" s="48"/>
    </row>
    <row r="23" spans="1:49" s="21" customFormat="1" ht="16">
      <c r="E23" s="47" t="s">
        <v>906</v>
      </c>
      <c r="G23" s="2" t="s">
        <v>101</v>
      </c>
      <c r="H23" s="48"/>
      <c r="AJ23" s="461"/>
      <c r="AK23" s="461"/>
      <c r="AL23" s="461"/>
      <c r="AM23" s="461"/>
      <c r="AN23" s="461"/>
      <c r="AO23" s="461"/>
      <c r="AP23" s="461"/>
      <c r="AQ23" s="386"/>
      <c r="AR23" s="461">
        <f t="shared" ref="AR23:AU23" si="5">AVERAGE(AR20:AR21)</f>
        <v>1941.1048366736363</v>
      </c>
      <c r="AS23" s="461">
        <f t="shared" si="5"/>
        <v>1990.1708844258824</v>
      </c>
      <c r="AT23" s="461">
        <f t="shared" si="5"/>
        <v>2088.3046656700226</v>
      </c>
      <c r="AU23" s="461">
        <f t="shared" si="5"/>
        <v>2218.325527442169</v>
      </c>
      <c r="AV23" s="461">
        <f>AVERAGE(AV20:AV21)</f>
        <v>2356.7440618465175</v>
      </c>
      <c r="AW23" s="48"/>
    </row>
    <row r="24" spans="1:49" s="21" customFormat="1" ht="16">
      <c r="E24" s="47"/>
      <c r="H24" s="48"/>
      <c r="AJ24" s="8"/>
      <c r="AK24" s="8"/>
      <c r="AL24" s="8"/>
      <c r="AM24" s="8"/>
      <c r="AN24" s="8"/>
      <c r="AO24" s="8"/>
      <c r="AP24" s="8"/>
      <c r="AQ24" s="9"/>
      <c r="AR24" s="8"/>
      <c r="AS24" s="8"/>
      <c r="AT24" s="8"/>
      <c r="AU24" s="8"/>
      <c r="AV24" s="8"/>
      <c r="AW24" s="48"/>
    </row>
    <row r="25" spans="1:49" s="21" customFormat="1" ht="16">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
      <c r="E26" s="47"/>
      <c r="H26" s="48"/>
      <c r="AJ26" s="8"/>
      <c r="AK26" s="8"/>
      <c r="AL26" s="8"/>
      <c r="AM26" s="8"/>
      <c r="AN26" s="8"/>
      <c r="AO26" s="8"/>
      <c r="AP26" s="8"/>
      <c r="AQ26" s="9"/>
      <c r="AR26" s="8"/>
      <c r="AS26" s="8"/>
      <c r="AT26" s="8"/>
      <c r="AU26" s="8"/>
      <c r="AV26" s="8"/>
      <c r="AW26" s="48"/>
    </row>
    <row r="27" spans="1:49" s="21" customFormat="1" ht="16">
      <c r="E27" s="47" t="s">
        <v>906</v>
      </c>
      <c r="G27" s="2" t="s">
        <v>101</v>
      </c>
      <c r="H27" s="48"/>
      <c r="AJ27" s="7"/>
      <c r="AK27" s="7"/>
      <c r="AL27" s="7"/>
      <c r="AM27" s="7"/>
      <c r="AN27" s="7"/>
      <c r="AO27" s="7"/>
      <c r="AP27" s="7"/>
      <c r="AQ27" s="65"/>
      <c r="AR27" s="7">
        <f t="shared" ref="AR27:AU27" si="6">AR23</f>
        <v>1941.1048366736363</v>
      </c>
      <c r="AS27" s="7">
        <f t="shared" si="6"/>
        <v>1990.1708844258824</v>
      </c>
      <c r="AT27" s="7">
        <f t="shared" si="6"/>
        <v>2088.3046656700226</v>
      </c>
      <c r="AU27" s="7">
        <f t="shared" si="6"/>
        <v>2218.325527442169</v>
      </c>
      <c r="AV27" s="7">
        <f>AV23</f>
        <v>2356.7440618465175</v>
      </c>
      <c r="AW27" s="48"/>
    </row>
    <row r="28" spans="1:49" s="21" customFormat="1" ht="16">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4.1868818000000002E-2</v>
      </c>
      <c r="AV28" s="185">
        <f>AV12</f>
        <v>4.1308793199999999E-2</v>
      </c>
      <c r="AW28" s="48"/>
    </row>
    <row r="29" spans="1:49" s="21" customFormat="1" ht="16">
      <c r="E29" s="47"/>
      <c r="H29" s="48"/>
      <c r="AJ29" s="7"/>
      <c r="AK29" s="7"/>
      <c r="AL29" s="7"/>
      <c r="AM29" s="7"/>
      <c r="AN29" s="7"/>
      <c r="AO29" s="7"/>
      <c r="AP29" s="7"/>
      <c r="AQ29" s="65"/>
      <c r="AR29" s="7"/>
      <c r="AS29" s="7"/>
      <c r="AT29" s="7"/>
      <c r="AU29" s="7"/>
      <c r="AV29" s="7"/>
      <c r="AW29" s="48"/>
    </row>
    <row r="30" spans="1:49" s="21" customFormat="1" ht="16">
      <c r="E30" s="47" t="s">
        <v>899</v>
      </c>
      <c r="G30" s="2" t="s">
        <v>101</v>
      </c>
      <c r="H30" s="48"/>
      <c r="AJ30" s="537"/>
      <c r="AK30" s="537"/>
      <c r="AL30" s="537"/>
      <c r="AM30" s="537"/>
      <c r="AN30" s="537"/>
      <c r="AO30" s="537"/>
      <c r="AP30" s="537"/>
      <c r="AQ30" s="385"/>
      <c r="AR30" s="537">
        <f t="shared" ref="AR30:AU30" si="7">AR27 * AR28</f>
        <v>77.127039657707257</v>
      </c>
      <c r="AS30" s="537">
        <f t="shared" si="7"/>
        <v>82.333734088004775</v>
      </c>
      <c r="AT30" s="537">
        <f t="shared" si="7"/>
        <v>85.474640753333063</v>
      </c>
      <c r="AU30" s="537">
        <f t="shared" si="7"/>
        <v>92.878667773230191</v>
      </c>
      <c r="AV30" s="537">
        <f>AV27 * AV28</f>
        <v>97.354253076145795</v>
      </c>
      <c r="AW30" s="48"/>
    </row>
    <row r="31" spans="1:49" ht="16">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
      <c r="C38" s="55"/>
      <c r="E38" s="41"/>
      <c r="J38" s="42"/>
      <c r="K38" s="42"/>
      <c r="L38" s="42"/>
      <c r="M38" s="42"/>
      <c r="N38" s="42"/>
      <c r="O38" s="42"/>
      <c r="P38" s="42"/>
      <c r="Q38" s="42"/>
      <c r="R38" s="42"/>
      <c r="S38" s="42"/>
      <c r="T38" s="42"/>
      <c r="U38" s="42"/>
      <c r="V38" s="42"/>
      <c r="W38" s="42"/>
      <c r="X38" s="42"/>
      <c r="Y38" s="42"/>
      <c r="Z38" s="42"/>
      <c r="AQ38" s="57"/>
    </row>
    <row r="39" spans="2:48" s="2" customFormat="1" ht="16">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1830.3515286856029</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1830.3515286856029</v>
      </c>
      <c r="AK43" s="2">
        <f t="shared" si="9"/>
        <v>1849.8089885472436</v>
      </c>
      <c r="AL43" s="2">
        <f t="shared" si="9"/>
        <v>1872.8014722014045</v>
      </c>
      <c r="AM43" s="2">
        <f t="shared" si="9"/>
        <v>1897.0111025311162</v>
      </c>
      <c r="AN43" s="2">
        <f t="shared" si="9"/>
        <v>1923.3597164331886</v>
      </c>
      <c r="AO43" s="2">
        <f t="shared" si="9"/>
        <v>1941.7671644858108</v>
      </c>
      <c r="AP43" s="2">
        <f t="shared" si="9"/>
        <v>1953.2057976825768</v>
      </c>
      <c r="AQ43" s="57">
        <f t="shared" si="9"/>
        <v>1955.8248053466464</v>
      </c>
      <c r="AR43" s="2">
        <f t="shared" si="9"/>
        <v>1962.6865204652076</v>
      </c>
      <c r="AS43" s="2">
        <f t="shared" si="9"/>
        <v>1995.7926750321012</v>
      </c>
      <c r="AT43" s="2">
        <f t="shared" si="9"/>
        <v>2066.6502534003771</v>
      </c>
      <c r="AU43" s="2">
        <f t="shared" si="9"/>
        <v>2196.3200372172564</v>
      </c>
      <c r="AV43" s="2">
        <f t="shared" si="9"/>
        <v>2334.131029305539</v>
      </c>
    </row>
    <row r="44" spans="2:48" s="2" customFormat="1" ht="16">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186.92546132708756</v>
      </c>
      <c r="AK44" s="30">
        <f t="shared" si="10"/>
        <v>192.69036110532994</v>
      </c>
      <c r="AL44" s="30">
        <f t="shared" si="10"/>
        <v>196.70986554285136</v>
      </c>
      <c r="AM44" s="30">
        <f t="shared" si="10"/>
        <v>200.52551994509659</v>
      </c>
      <c r="AN44" s="30">
        <f t="shared" si="10"/>
        <v>193.19467847520997</v>
      </c>
      <c r="AO44" s="30">
        <f t="shared" si="10"/>
        <v>186.49410307673955</v>
      </c>
      <c r="AP44" s="30">
        <f t="shared" si="10"/>
        <v>177.03545799093234</v>
      </c>
      <c r="AQ44" s="218">
        <f t="shared" si="10"/>
        <v>178.41711679190453</v>
      </c>
      <c r="AR44" s="30">
        <f t="shared" ref="AR44:AV44" si="11">AR57</f>
        <v>202.0641926477104</v>
      </c>
      <c r="AS44" s="30">
        <f t="shared" si="11"/>
        <v>237.73665294461162</v>
      </c>
      <c r="AT44" s="30">
        <f t="shared" si="11"/>
        <v>260.68004911905837</v>
      </c>
      <c r="AU44" s="30">
        <f t="shared" si="11"/>
        <v>268.70364706268117</v>
      </c>
      <c r="AV44" s="30">
        <f t="shared" si="11"/>
        <v>273.6892286575378</v>
      </c>
    </row>
    <row r="45" spans="2:48" s="2" customFormat="1" ht="16">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-167.4680014654468</v>
      </c>
      <c r="AK45" s="30">
        <f t="shared" si="12"/>
        <v>-169.69787745116889</v>
      </c>
      <c r="AL45" s="30">
        <f t="shared" si="12"/>
        <v>-172.50023521313958</v>
      </c>
      <c r="AM45" s="30">
        <f t="shared" si="12"/>
        <v>-174.17690604302419</v>
      </c>
      <c r="AN45" s="30">
        <f t="shared" si="12"/>
        <v>-174.78723042258767</v>
      </c>
      <c r="AO45" s="30">
        <f t="shared" si="12"/>
        <v>-175.05546987997377</v>
      </c>
      <c r="AP45" s="30">
        <f t="shared" si="12"/>
        <v>-174.41645032686256</v>
      </c>
      <c r="AQ45" s="218">
        <f t="shared" si="12"/>
        <v>-171.55540167334308</v>
      </c>
      <c r="AR45" s="30">
        <f t="shared" ref="AR45:AV45" si="13">-AR65</f>
        <v>-168.95803808081689</v>
      </c>
      <c r="AS45" s="30">
        <f t="shared" si="13"/>
        <v>-166.87907457633577</v>
      </c>
      <c r="AT45" s="30">
        <f t="shared" si="13"/>
        <v>-131.01026530217894</v>
      </c>
      <c r="AU45" s="30">
        <f t="shared" si="13"/>
        <v>-130.89265497439879</v>
      </c>
      <c r="AV45" s="30">
        <f t="shared" si="13"/>
        <v>-130.17479341457448</v>
      </c>
    </row>
    <row r="46" spans="2:48" s="2" customFormat="1" ht="16">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5">
        <f t="shared" ref="AJ46:AV46" si="14">SUM(AJ43:AJ45)</f>
        <v>1849.8089885472436</v>
      </c>
      <c r="AK46" s="525">
        <f t="shared" si="14"/>
        <v>1872.8014722014045</v>
      </c>
      <c r="AL46" s="525">
        <f t="shared" si="14"/>
        <v>1897.0111025311162</v>
      </c>
      <c r="AM46" s="525">
        <f t="shared" si="14"/>
        <v>1923.3597164331886</v>
      </c>
      <c r="AN46" s="525">
        <f t="shared" si="14"/>
        <v>1941.7671644858108</v>
      </c>
      <c r="AO46" s="525">
        <f t="shared" si="14"/>
        <v>1953.2057976825768</v>
      </c>
      <c r="AP46" s="525">
        <f t="shared" si="14"/>
        <v>1955.8248053466464</v>
      </c>
      <c r="AQ46" s="530">
        <f t="shared" si="14"/>
        <v>1962.6865204652076</v>
      </c>
      <c r="AR46" s="525">
        <f t="shared" si="14"/>
        <v>1995.7926750321012</v>
      </c>
      <c r="AS46" s="525">
        <f t="shared" si="14"/>
        <v>2066.6502534003771</v>
      </c>
      <c r="AT46" s="525">
        <f t="shared" si="14"/>
        <v>2196.3200372172564</v>
      </c>
      <c r="AU46" s="525">
        <f t="shared" si="14"/>
        <v>2334.131029305539</v>
      </c>
      <c r="AV46" s="525">
        <f t="shared" si="14"/>
        <v>2477.6454645485023</v>
      </c>
    </row>
    <row r="47" spans="2:48" s="2" customFormat="1" ht="16">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
      <c r="A53" s="7"/>
      <c r="E53" s="74" t="s">
        <v>913</v>
      </c>
      <c r="G53" s="2" t="s">
        <v>101</v>
      </c>
      <c r="J53" s="42"/>
      <c r="AJ53" s="79">
        <f>Depn!AJ45</f>
        <v>3250.2756697030522</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3250.2756697030522</v>
      </c>
      <c r="AK55" s="2">
        <f t="shared" si="15"/>
        <v>3437.20113103014</v>
      </c>
      <c r="AL55" s="2">
        <f t="shared" si="15"/>
        <v>3629.8914921354699</v>
      </c>
      <c r="AM55" s="2">
        <f t="shared" si="15"/>
        <v>3826.6013576783212</v>
      </c>
      <c r="AN55" s="2">
        <f t="shared" si="15"/>
        <v>4027.1268776234178</v>
      </c>
      <c r="AO55" s="2">
        <f t="shared" si="15"/>
        <v>4220.3215560986282</v>
      </c>
      <c r="AP55" s="2">
        <f t="shared" si="15"/>
        <v>4406.8156591753677</v>
      </c>
      <c r="AQ55" s="57">
        <f t="shared" si="15"/>
        <v>4583.8511171663004</v>
      </c>
      <c r="AR55" s="2">
        <f t="shared" si="15"/>
        <v>4762.2682339582052</v>
      </c>
      <c r="AS55" s="2">
        <f t="shared" si="15"/>
        <v>4964.3324266059153</v>
      </c>
      <c r="AT55" s="2">
        <f t="shared" si="15"/>
        <v>5202.069079550527</v>
      </c>
      <c r="AU55" s="2">
        <f t="shared" si="15"/>
        <v>5462.7491286695858</v>
      </c>
      <c r="AV55" s="2">
        <f t="shared" si="15"/>
        <v>5731.4527757322667</v>
      </c>
    </row>
    <row r="56" spans="1:48" s="7" customFormat="1" ht="16">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3250.2756697030522</v>
      </c>
      <c r="AK56" s="432">
        <f t="shared" si="16"/>
        <v>3437.20113103014</v>
      </c>
      <c r="AL56" s="432">
        <f t="shared" si="16"/>
        <v>3629.8914921354699</v>
      </c>
      <c r="AM56" s="432">
        <f t="shared" si="16"/>
        <v>3826.6013576783212</v>
      </c>
      <c r="AN56" s="432">
        <f t="shared" si="16"/>
        <v>4027.1268776234178</v>
      </c>
      <c r="AO56" s="432">
        <f t="shared" si="16"/>
        <v>4220.3215560986282</v>
      </c>
      <c r="AP56" s="432">
        <f t="shared" si="16"/>
        <v>4406.8156591753677</v>
      </c>
      <c r="AQ56" s="533">
        <f t="shared" si="16"/>
        <v>4583.8511171663004</v>
      </c>
      <c r="AR56" s="432">
        <f t="shared" si="16"/>
        <v>4762.2682339582052</v>
      </c>
      <c r="AS56" s="432">
        <f t="shared" si="16"/>
        <v>4964.3324266059153</v>
      </c>
      <c r="AT56" s="432">
        <f t="shared" si="16"/>
        <v>5202.069079550527</v>
      </c>
      <c r="AU56" s="432">
        <f t="shared" si="16"/>
        <v>5462.7491286695858</v>
      </c>
      <c r="AV56" s="432">
        <f t="shared" si="16"/>
        <v>5731.4527757322667</v>
      </c>
    </row>
    <row r="57" spans="1:48" s="7" customFormat="1" ht="16">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186.92546132708756</v>
      </c>
      <c r="AK57" s="8">
        <f>Depn!AK27</f>
        <v>192.69036110532994</v>
      </c>
      <c r="AL57" s="8">
        <f>Depn!AL27</f>
        <v>196.70986554285136</v>
      </c>
      <c r="AM57" s="8">
        <f>Depn!AM27</f>
        <v>200.52551994509659</v>
      </c>
      <c r="AN57" s="8">
        <f>Depn!AN27</f>
        <v>193.19467847520997</v>
      </c>
      <c r="AO57" s="8">
        <f>Depn!AO27</f>
        <v>186.49410307673955</v>
      </c>
      <c r="AP57" s="8">
        <f>Depn!AP27</f>
        <v>177.03545799093234</v>
      </c>
      <c r="AQ57" s="9">
        <f>Depn!AQ27</f>
        <v>178.41711679190453</v>
      </c>
      <c r="AR57" s="8">
        <f>Depn!AR27</f>
        <v>202.0641926477104</v>
      </c>
      <c r="AS57" s="8">
        <f>Depn!AS27</f>
        <v>237.73665294461162</v>
      </c>
      <c r="AT57" s="8">
        <f>Depn!AT27</f>
        <v>260.68004911905837</v>
      </c>
      <c r="AU57" s="8">
        <f>Depn!AU27</f>
        <v>268.70364706268117</v>
      </c>
      <c r="AV57" s="8">
        <f>Depn!AV27</f>
        <v>273.6892286575378</v>
      </c>
    </row>
    <row r="58" spans="1:48" s="7" customFormat="1" ht="16">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3437.20113103014</v>
      </c>
      <c r="AK58" s="431">
        <f t="shared" si="17"/>
        <v>3629.8914921354699</v>
      </c>
      <c r="AL58" s="431">
        <f t="shared" si="17"/>
        <v>3826.6013576783212</v>
      </c>
      <c r="AM58" s="431">
        <f t="shared" si="17"/>
        <v>4027.1268776234178</v>
      </c>
      <c r="AN58" s="431">
        <f t="shared" si="17"/>
        <v>4220.3215560986282</v>
      </c>
      <c r="AO58" s="431">
        <f t="shared" si="17"/>
        <v>4406.8156591753677</v>
      </c>
      <c r="AP58" s="431">
        <f t="shared" si="17"/>
        <v>4583.8511171663004</v>
      </c>
      <c r="AQ58" s="532">
        <f t="shared" si="17"/>
        <v>4762.2682339582052</v>
      </c>
      <c r="AR58" s="431">
        <f t="shared" si="17"/>
        <v>4964.3324266059153</v>
      </c>
      <c r="AS58" s="431">
        <f t="shared" si="17"/>
        <v>5202.069079550527</v>
      </c>
      <c r="AT58" s="431">
        <f t="shared" si="17"/>
        <v>5462.7491286695858</v>
      </c>
      <c r="AU58" s="431">
        <f t="shared" si="17"/>
        <v>5731.4527757322667</v>
      </c>
      <c r="AV58" s="431">
        <f t="shared" si="17"/>
        <v>6005.1420043898042</v>
      </c>
    </row>
    <row r="59" spans="1:48" s="7" customFormat="1" ht="16">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
      <c r="A61" s="7"/>
      <c r="E61" s="74" t="s">
        <v>924</v>
      </c>
      <c r="G61" s="2" t="s">
        <v>101</v>
      </c>
      <c r="J61" s="42"/>
      <c r="AJ61" s="79">
        <f>Depn!AJ46</f>
        <v>1383.9646742245975</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1383.9646742245975</v>
      </c>
      <c r="AK63" s="2">
        <f t="shared" si="18"/>
        <v>1551.4326756900443</v>
      </c>
      <c r="AL63" s="2">
        <f t="shared" si="18"/>
        <v>1721.1305531412131</v>
      </c>
      <c r="AM63" s="2">
        <f t="shared" si="18"/>
        <v>1893.6307883543527</v>
      </c>
      <c r="AN63" s="2">
        <f t="shared" si="18"/>
        <v>2067.807694397377</v>
      </c>
      <c r="AO63" s="2">
        <f t="shared" si="18"/>
        <v>2242.5949248199645</v>
      </c>
      <c r="AP63" s="2">
        <f t="shared" si="18"/>
        <v>2417.6503946999383</v>
      </c>
      <c r="AQ63" s="57">
        <f t="shared" si="18"/>
        <v>2592.0668450268008</v>
      </c>
      <c r="AR63" s="2">
        <f t="shared" si="18"/>
        <v>2763.6222467001439</v>
      </c>
      <c r="AS63" s="2">
        <f t="shared" si="18"/>
        <v>2932.5802847809609</v>
      </c>
      <c r="AT63" s="2">
        <f t="shared" si="18"/>
        <v>3099.4593593572968</v>
      </c>
      <c r="AU63" s="2">
        <f t="shared" si="18"/>
        <v>3230.4696246594758</v>
      </c>
      <c r="AV63" s="2">
        <f t="shared" si="18"/>
        <v>3361.3622796338746</v>
      </c>
    </row>
    <row r="64" spans="1:48" s="7" customFormat="1" ht="16">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1383.9646742245975</v>
      </c>
      <c r="AK64" s="432">
        <f t="shared" si="19"/>
        <v>1551.4326756900443</v>
      </c>
      <c r="AL64" s="432">
        <f t="shared" si="19"/>
        <v>1721.1305531412131</v>
      </c>
      <c r="AM64" s="432">
        <f t="shared" si="19"/>
        <v>1893.6307883543527</v>
      </c>
      <c r="AN64" s="432">
        <f t="shared" si="19"/>
        <v>2067.807694397377</v>
      </c>
      <c r="AO64" s="432">
        <f t="shared" si="19"/>
        <v>2242.5949248199645</v>
      </c>
      <c r="AP64" s="432">
        <f t="shared" si="19"/>
        <v>2417.6503946999383</v>
      </c>
      <c r="AQ64" s="533">
        <f t="shared" si="19"/>
        <v>2592.0668450268008</v>
      </c>
      <c r="AR64" s="432">
        <f t="shared" si="19"/>
        <v>2763.6222467001439</v>
      </c>
      <c r="AS64" s="432">
        <f t="shared" si="19"/>
        <v>2932.5802847809609</v>
      </c>
      <c r="AT64" s="432">
        <f t="shared" si="19"/>
        <v>3099.4593593572968</v>
      </c>
      <c r="AU64" s="432">
        <f t="shared" si="19"/>
        <v>3230.4696246594758</v>
      </c>
      <c r="AV64" s="432">
        <f t="shared" si="19"/>
        <v>3361.3622796338746</v>
      </c>
    </row>
    <row r="65" spans="1:48" s="7" customFormat="1" ht="16">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167.4680014654468</v>
      </c>
      <c r="AK65" s="8">
        <f>SUM(Depn!AK29:AK31)</f>
        <v>169.69787745116889</v>
      </c>
      <c r="AL65" s="8">
        <f>SUM(Depn!AL29:AL31)</f>
        <v>172.50023521313958</v>
      </c>
      <c r="AM65" s="8">
        <f>SUM(Depn!AM29:AM31)</f>
        <v>174.17690604302419</v>
      </c>
      <c r="AN65" s="8">
        <f>SUM(Depn!AN29:AN31)</f>
        <v>174.78723042258767</v>
      </c>
      <c r="AO65" s="8">
        <f>SUM(Depn!AO29:AO31)</f>
        <v>175.05546987997377</v>
      </c>
      <c r="AP65" s="8">
        <f>SUM(Depn!AP29:AP31)</f>
        <v>174.41645032686256</v>
      </c>
      <c r="AQ65" s="9">
        <f>SUM(Depn!AQ29:AQ31)</f>
        <v>171.55540167334308</v>
      </c>
      <c r="AR65" s="8">
        <f>SUM(Depn!AR29:AR31)</f>
        <v>168.95803808081689</v>
      </c>
      <c r="AS65" s="8">
        <f>SUM(Depn!AS29:AS31)</f>
        <v>166.87907457633577</v>
      </c>
      <c r="AT65" s="8">
        <f>SUM(Depn!AT29:AT31)</f>
        <v>131.01026530217894</v>
      </c>
      <c r="AU65" s="8">
        <f>SUM(Depn!AU29:AU31)</f>
        <v>130.89265497439879</v>
      </c>
      <c r="AV65" s="8">
        <f>SUM(Depn!AV29:AV31)</f>
        <v>130.17479341457448</v>
      </c>
    </row>
    <row r="66" spans="1:48" s="7" customFormat="1" ht="16">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1551.4326756900443</v>
      </c>
      <c r="AK66" s="431">
        <f t="shared" si="20"/>
        <v>1721.1305531412131</v>
      </c>
      <c r="AL66" s="431">
        <f t="shared" si="20"/>
        <v>1893.6307883543527</v>
      </c>
      <c r="AM66" s="431">
        <f t="shared" si="20"/>
        <v>2067.807694397377</v>
      </c>
      <c r="AN66" s="431">
        <f t="shared" si="20"/>
        <v>2242.5949248199645</v>
      </c>
      <c r="AO66" s="431">
        <f t="shared" si="20"/>
        <v>2417.6503946999383</v>
      </c>
      <c r="AP66" s="431">
        <f t="shared" si="20"/>
        <v>2592.0668450268008</v>
      </c>
      <c r="AQ66" s="532">
        <f t="shared" si="20"/>
        <v>2763.6222467001439</v>
      </c>
      <c r="AR66" s="431">
        <f t="shared" si="20"/>
        <v>2932.5802847809609</v>
      </c>
      <c r="AS66" s="431">
        <f t="shared" si="20"/>
        <v>3099.4593593572968</v>
      </c>
      <c r="AT66" s="431">
        <f t="shared" si="20"/>
        <v>3230.4696246594758</v>
      </c>
      <c r="AU66" s="431">
        <f t="shared" si="20"/>
        <v>3361.3622796338746</v>
      </c>
      <c r="AV66" s="431">
        <f t="shared" si="20"/>
        <v>3491.5370730484492</v>
      </c>
    </row>
    <row r="67" spans="1:48" s="7" customFormat="1" ht="16">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2031.7521418249544</v>
      </c>
      <c r="AS69" s="461">
        <f>AS58 - AS66</f>
        <v>2102.6097201932303</v>
      </c>
      <c r="AT69" s="461">
        <f>AT58 - AT66</f>
        <v>2232.27950401011</v>
      </c>
      <c r="AU69" s="461">
        <f>AU58 - AU66</f>
        <v>2370.0904960983921</v>
      </c>
      <c r="AV69" s="461">
        <f>AV58 - AV66</f>
        <v>2513.604931341355</v>
      </c>
    </row>
    <row r="70" spans="1:48" s="7" customFormat="1" ht="16">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
      <c r="E72" s="41"/>
      <c r="J72" s="42"/>
      <c r="K72" s="42"/>
      <c r="L72" s="42"/>
      <c r="M72" s="42"/>
      <c r="N72" s="42"/>
      <c r="O72" s="42"/>
      <c r="P72" s="42"/>
      <c r="Q72" s="42"/>
      <c r="R72" s="42"/>
      <c r="S72" s="42"/>
      <c r="T72" s="42"/>
      <c r="U72" s="42"/>
      <c r="V72" s="42"/>
      <c r="W72" s="42"/>
      <c r="X72" s="42"/>
      <c r="Y72" s="42"/>
      <c r="Z72" s="42"/>
      <c r="AQ72" s="57"/>
    </row>
    <row r="73" spans="1:48" s="2" customFormat="1" ht="16">
      <c r="E73" s="41" t="s">
        <v>272</v>
      </c>
      <c r="G73" s="2" t="s">
        <v>101</v>
      </c>
      <c r="I73" s="8">
        <f>InputSummary!I219</f>
        <v>35.959466792851771</v>
      </c>
      <c r="J73" s="42"/>
      <c r="K73" s="42"/>
      <c r="L73" s="42"/>
      <c r="M73" s="42"/>
      <c r="N73" s="42"/>
      <c r="O73" s="42"/>
      <c r="P73" s="42"/>
      <c r="Q73" s="42"/>
      <c r="R73" s="42"/>
      <c r="S73" s="42"/>
      <c r="T73" s="42"/>
      <c r="U73" s="42"/>
      <c r="V73" s="42"/>
      <c r="W73" s="42"/>
      <c r="X73" s="42"/>
      <c r="Y73" s="42"/>
      <c r="Z73" s="42"/>
      <c r="AJ73" s="2">
        <f>AJ$37*$I73</f>
        <v>35.959466792851771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8" priority="1">
      <formula>mac_sensitivity=2</formula>
    </cfRule>
    <cfRule type="expression" dxfId="77" priority="2">
      <formula>mac_sensitivity=1</formula>
    </cfRule>
  </conditionalFormatting>
  <conditionalFormatting sqref="AM3">
    <cfRule type="expression" dxfId="7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146050</xdr:colOff>
                    <xdr:row>0</xdr:row>
                    <xdr:rowOff>31750</xdr:rowOff>
                  </from>
                  <to>
                    <xdr:col>7</xdr:col>
                    <xdr:colOff>152400</xdr:colOff>
                    <xdr:row>0</xdr:row>
                    <xdr:rowOff>165100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2.xml>��< ? x m l   v e r s i o n = " 1 . 0 "   e n c o d i n g = " u t f - 1 6 " ? > < D a t a M a s h u p   x m l n s = " h t t p : / / s c h e m a s . m i c r o s o f t . c o m / D a t a M a s h u p " > A A A A A A 0 D A A B Q S w M E F A A C A A g A l 1 w v W v 9 n C c G m A A A A 9 g A A A B I A H A B D b 2 5 m a W c v U G F j a 2 F n Z S 5 4 b W w g o h g A K K A U A A A A A A A A A A A A A A A A A A A A A A A A A A A A h Y 9 L D o I w G I S v Q r q n D 0 h 8 k J + S 6 M K N J C Y m x m 1 T K z R C M b R Y 7 u b C I 3 k F M Y q 6 c z n f f I u Z + / U G W V 9 X w U W 1 V j c m R Q x T F C g j m 4 M 2 R Y o 6 d w x n K O O w E f I k C h U M s r F J b w 8 p K p 0 7 J 4 R 4 7 7 G P c d M W J K K U k X 2 + 3 s p S 1 Q J 9 Z P 1 f D r W x T h i p E I f d a w y P M I v n m E 0 n m A I Z I e T a f I V o 2 P t s f y A s u 8 p 1 r e L K h K s F k D E C e X / g D 1 B L A w Q U A A I A C A C X X C 9 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l 1 w v W i i K R 7 g O A A A A E Q A A A B M A H A B G b 3 J t d W x h c y 9 T Z W N 0 a W 9 u M S 5 t I K I Y A C i g F A A A A A A A A A A A A A A A A A A A A A A A A A A A A C t O T S 7 J z M 9 T C I b Q h t Y A U E s B A i 0 A F A A C A A g A l 1 w v W v 9 n C c G m A A A A 9 g A A A B I A A A A A A A A A A A A A A A A A A A A A A E N v b m Z p Z y 9 Q Y W N r Y W d l L n h t b F B L A Q I t A B Q A A g A I A J d c L 1 p T c j g s m w A A A O E A A A A T A A A A A A A A A A A A A A A A A P I A A A B b Q 2 9 u d G V u d F 9 U e X B l c 1 0 u e G 1 s U E s B A i 0 A F A A C A A g A l 1 w v W 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C 5 F 9 t 0 g L e s T 4 T n J w R v 9 n p s A A A A A A I A A A A A A A N m A A D A A A A A E A A A A M J p Z + h 9 F H j h 7 a l B l W g a y q E A A A A A B I A A A K A A A A A Q A A A A j w k 3 e R 7 X Y K d 4 E R R V L Z 1 p Q l A A A A A O / K o M w H M U e / l O 6 S 2 H v w C a G v 9 g r j T q 7 Y b S P w u 6 4 h E h n k y m g Y B B t C a s s S U 7 O 2 2 U s J 5 f o R Z A 1 E 3 U R s D l O G u C 8 Z 3 4 j w r t F n V T B j l C W A O R n 8 e l / B Q A A A B F b y n P u C K O / p H m i q 2 u k J z F R 6 / / 4 A = = < / 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1752</PublicationRequestID>
    <TaxCatchAll xmlns="d66eba0d-a2b9-4833-9603-ab5d8f45883c" xsi:nil="true"/>
    <DocumentTitle xmlns="3ffacce4-957f-4f0a-910f-9efe2ecf512c">ED2 PCFM V4 (published 25 July 2025)</DocumentTitle>
    <DocumentRank xmlns="3ffacce4-957f-4f0a-910f-9efe2ecf512c">Main</DocumentRank>
  </documentManagement>
</p:properties>
</file>

<file path=customXml/itemProps1.xml><?xml version="1.0" encoding="utf-8"?>
<ds:datastoreItem xmlns:ds="http://schemas.openxmlformats.org/officeDocument/2006/customXml" ds:itemID="{E3A36143-F865-49E9-81B9-F0AF36851875}">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A092E8BC-996F-4634-A148-0F059D409F47}">
  <ds:schemaRefs>
    <ds:schemaRef ds:uri="http://schemas.microsoft.com/DataMashup"/>
  </ds:schemaRefs>
</ds:datastoreItem>
</file>

<file path=customXml/itemProps3.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4.xml><?xml version="1.0" encoding="utf-8"?>
<ds:datastoreItem xmlns:ds="http://schemas.openxmlformats.org/officeDocument/2006/customXml" ds:itemID="{E3A8292A-9627-477D-8059-9B8E918C78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960A401-5BD1-48EA-B12B-96DF3580168D}">
  <ds:schemaRefs>
    <ds:schemaRef ds:uri="http://schemas.microsoft.com/office/2006/metadata/properties"/>
    <ds:schemaRef ds:uri="http://schemas.microsoft.com/office/infopath/2007/PartnerControls"/>
    <ds:schemaRef ds:uri="http://schemas.microsoft.com/sharepoint/v3"/>
    <ds:schemaRef ds:uri="3ffacce4-957f-4f0a-910f-9efe2ecf512c"/>
    <ds:schemaRef ds:uri="d66eba0d-a2b9-4833-9603-ab5d8f45883c"/>
  </ds:schemaRefs>
</ds:datastoreItem>
</file>

<file path=docMetadata/LabelInfo.xml><?xml version="1.0" encoding="utf-8"?>
<clbl:labelList xmlns:clbl="http://schemas.microsoft.com/office/2020/mipLabelMetadata">
  <clbl:label id="{019c027e-33b7-45fc-a572-8ffa5d09ec36}" enabled="1" method="Standard" siteId="{031a09bc-a2bf-44df-888e-4e09355b7a24}"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Revenue</vt:lpstr>
      <vt:lpstr>ReturnAdj</vt:lpstr>
      <vt:lpstr>AR</vt:lpstr>
      <vt:lpstr>Annual Inflation</vt:lpstr>
      <vt:lpstr>Monthly Inflation</vt:lpstr>
      <vt:lpstr>Checks</vt:lpstr>
      <vt:lpstr>SPD</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Glen, Thomas</cp:lastModifiedBy>
  <cp:revision/>
  <dcterms:created xsi:type="dcterms:W3CDTF">2021-01-04T16:10:44Z</dcterms:created>
  <dcterms:modified xsi:type="dcterms:W3CDTF">2025-12-19T10:04:13Z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0x010100D7C6947C0F765F428416B2828D309B65</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y fmtid="{D5CDD505-2E9C-101B-9397-08002B2CF9AE}" pid="36" name="MSIP_Label_019c027e-33b7-45fc-a572-8ffa5d09ec36_Enabled">
    <vt:lpwstr>true</vt:lpwstr>
  </property>
  <property fmtid="{D5CDD505-2E9C-101B-9397-08002B2CF9AE}" pid="37" name="MSIP_Label_019c027e-33b7-45fc-a572-8ffa5d09ec36_SetDate">
    <vt:lpwstr>2025-07-25T15:25:19Z</vt:lpwstr>
  </property>
  <property fmtid="{D5CDD505-2E9C-101B-9397-08002B2CF9AE}" pid="38" name="MSIP_Label_019c027e-33b7-45fc-a572-8ffa5d09ec36_Method">
    <vt:lpwstr>Standard</vt:lpwstr>
  </property>
  <property fmtid="{D5CDD505-2E9C-101B-9397-08002B2CF9AE}" pid="39" name="MSIP_Label_019c027e-33b7-45fc-a572-8ffa5d09ec36_Name">
    <vt:lpwstr>Internal Use</vt:lpwstr>
  </property>
  <property fmtid="{D5CDD505-2E9C-101B-9397-08002B2CF9AE}" pid="40" name="MSIP_Label_019c027e-33b7-45fc-a572-8ffa5d09ec36_SiteId">
    <vt:lpwstr>031a09bc-a2bf-44df-888e-4e09355b7a24</vt:lpwstr>
  </property>
  <property fmtid="{D5CDD505-2E9C-101B-9397-08002B2CF9AE}" pid="41" name="MSIP_Label_019c027e-33b7-45fc-a572-8ffa5d09ec36_ActionId">
    <vt:lpwstr>89ecc02f-dfb9-49da-8db6-ba5a5973181f</vt:lpwstr>
  </property>
  <property fmtid="{D5CDD505-2E9C-101B-9397-08002B2CF9AE}" pid="42" name="MSIP_Label_019c027e-33b7-45fc-a572-8ffa5d09ec36_ContentBits">
    <vt:lpwstr>2</vt:lpwstr>
  </property>
</Properties>
</file>